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ΜΟΥΣΙΚΟ ΣΧΟΛΕΙΟ\1. ΜΕΛΕΤΕΣ\1. ΜΕΛΕΤΕΣ 2021\ΗΡΑΙΟ\"/>
    </mc:Choice>
  </mc:AlternateContent>
  <bookViews>
    <workbookView xWindow="12345" yWindow="30" windowWidth="10755" windowHeight="12465" tabRatio="891" activeTab="1"/>
  </bookViews>
  <sheets>
    <sheet name="ΕΞΩΦΥΛΛΟ" sheetId="11" r:id="rId1"/>
    <sheet name="SYNOPTIKOS_PINAKAS" sheetId="13" r:id="rId2"/>
    <sheet name="TOPO_XVRA- KOMBO ARXAIOL_XVROY" sheetId="12" r:id="rId3"/>
    <sheet name="SYGKOINVNIAKA" sheetId="14" r:id="rId4"/>
    <sheet name="YDRAYLIKA" sheetId="15" r:id="rId5"/>
    <sheet name="ΣΤΑΤΙΚΑ" sheetId="24" r:id="rId6"/>
    <sheet name="PERIBALLONTIKA" sheetId="18" r:id="rId7"/>
    <sheet name="GEVLOGIKA" sheetId="19" r:id="rId8"/>
    <sheet name="GEVTEXNIKA" sheetId="21" r:id="rId9"/>
    <sheet name="HM" sheetId="22" r:id="rId10"/>
    <sheet name="SAY-FAY" sheetId="23" r:id="rId11"/>
  </sheets>
  <definedNames>
    <definedName name="_xlnm.Print_Area" localSheetId="7">GEVLOGIKA!$A$1:$M$44</definedName>
    <definedName name="_xlnm.Print_Area" localSheetId="8">GEVTEXNIKA!$A$1:$M$75</definedName>
    <definedName name="_xlnm.Print_Area" localSheetId="6">PERIBALLONTIKA!$A$1:$M$29</definedName>
    <definedName name="_xlnm.Print_Area" localSheetId="10">'SAY-FAY'!$A$1:$M$20</definedName>
    <definedName name="_xlnm.Print_Area" localSheetId="3">SYGKOINVNIAKA!$A$1:$M$104</definedName>
    <definedName name="_xlnm.Print_Area" localSheetId="1">SYNOPTIKOS_PINAKAS!$A$1:$I$50</definedName>
    <definedName name="_xlnm.Print_Area" localSheetId="2">'TOPO_XVRA- KOMBO ARXAIOL_XVROY'!$A$1:$M$85</definedName>
    <definedName name="_xlnm.Print_Area" localSheetId="4">YDRAYLIKA!$A$1:$M$41</definedName>
    <definedName name="_xlnm.Print_Area" localSheetId="0">ΕΞΩΦΥΛΛΟ!$A$1:$J$33</definedName>
    <definedName name="_xlnm.Print_Area" localSheetId="5">ΣΤΑΤΙΚΑ!$A$1:$M$33</definedName>
    <definedName name="_xlnm.Print_Titles" localSheetId="2">'TOPO_XVRA- KOMBO ARXAIOL_XVROY'!$10:$12</definedName>
  </definedNames>
  <calcPr calcId="152511"/>
</workbook>
</file>

<file path=xl/calcChain.xml><?xml version="1.0" encoding="utf-8"?>
<calcChain xmlns="http://schemas.openxmlformats.org/spreadsheetml/2006/main">
  <c r="I18" i="24" l="1"/>
  <c r="L27" i="24"/>
  <c r="L22" i="24"/>
  <c r="H18" i="24" s="1"/>
  <c r="O20" i="24"/>
  <c r="L24" i="24" l="1"/>
  <c r="I16" i="22"/>
  <c r="N18" i="24" l="1"/>
  <c r="J30" i="24" s="1"/>
  <c r="F40" i="13" s="1"/>
  <c r="J18" i="24"/>
  <c r="J33" i="24" s="1"/>
  <c r="F18" i="13" s="1"/>
  <c r="O17" i="18"/>
  <c r="P17" i="18" s="1"/>
  <c r="J25" i="18" s="1"/>
  <c r="F41" i="13" s="1"/>
  <c r="J33" i="15"/>
  <c r="F39" i="13" s="1"/>
  <c r="O28" i="15"/>
  <c r="P28" i="15" s="1"/>
  <c r="O16" i="15"/>
  <c r="P16" i="15"/>
  <c r="O90" i="14" l="1"/>
  <c r="P90" i="14" s="1"/>
  <c r="O82" i="14"/>
  <c r="P82" i="14" s="1"/>
  <c r="J98" i="14" s="1"/>
  <c r="O68" i="14" l="1"/>
  <c r="P68" i="14" s="1"/>
  <c r="I68" i="14"/>
  <c r="O57" i="14"/>
  <c r="P57" i="14" s="1"/>
  <c r="O43" i="14"/>
  <c r="P43" i="14" s="1"/>
  <c r="J54" i="14" s="1"/>
  <c r="O29" i="14"/>
  <c r="P29" i="14" s="1"/>
  <c r="J41" i="14" s="1"/>
  <c r="I17" i="14"/>
  <c r="J79" i="14" l="1"/>
  <c r="J100" i="14" s="1"/>
  <c r="F38" i="13" s="1"/>
  <c r="J16" i="22"/>
  <c r="I69" i="21"/>
  <c r="J69" i="21" s="1"/>
  <c r="I68" i="21"/>
  <c r="J68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0" i="21"/>
  <c r="J50" i="21" s="1"/>
  <c r="I48" i="21"/>
  <c r="J48" i="21" s="1"/>
  <c r="I47" i="21"/>
  <c r="H47" i="21"/>
  <c r="I45" i="21"/>
  <c r="J45" i="21" s="1"/>
  <c r="I44" i="21"/>
  <c r="J44" i="21" s="1"/>
  <c r="I42" i="21"/>
  <c r="J42" i="21" s="1"/>
  <c r="I41" i="21"/>
  <c r="J41" i="21" s="1"/>
  <c r="I39" i="21"/>
  <c r="J39" i="21" s="1"/>
  <c r="I38" i="21"/>
  <c r="J38" i="21" s="1"/>
  <c r="I37" i="21"/>
  <c r="J37" i="21" s="1"/>
  <c r="I35" i="21"/>
  <c r="J35" i="21" s="1"/>
  <c r="I34" i="21"/>
  <c r="J34" i="21" s="1"/>
  <c r="I33" i="21"/>
  <c r="J33" i="21" s="1"/>
  <c r="I28" i="21"/>
  <c r="J28" i="21" s="1"/>
  <c r="J24" i="21"/>
  <c r="J20" i="21"/>
  <c r="I33" i="19"/>
  <c r="J33" i="19" s="1"/>
  <c r="I31" i="19"/>
  <c r="J31" i="19" s="1"/>
  <c r="I28" i="19"/>
  <c r="J28" i="19" s="1"/>
  <c r="I24" i="19"/>
  <c r="J24" i="19" s="1"/>
  <c r="I19" i="19"/>
  <c r="J19" i="19" s="1"/>
  <c r="O17" i="19"/>
  <c r="I14" i="19"/>
  <c r="J14" i="19" s="1"/>
  <c r="I17" i="18"/>
  <c r="J17" i="18" s="1"/>
  <c r="J27" i="18" s="1"/>
  <c r="F19" i="13" s="1"/>
  <c r="S31" i="15"/>
  <c r="S30" i="15"/>
  <c r="I28" i="15"/>
  <c r="J28" i="15" s="1"/>
  <c r="R26" i="15"/>
  <c r="R21" i="15"/>
  <c r="R19" i="15"/>
  <c r="I16" i="15"/>
  <c r="J16" i="15" s="1"/>
  <c r="I90" i="14"/>
  <c r="J90" i="14" s="1"/>
  <c r="J96" i="14" s="1"/>
  <c r="I82" i="14"/>
  <c r="J82" i="14" s="1"/>
  <c r="J88" i="14" s="1"/>
  <c r="J97" i="14" s="1"/>
  <c r="J68" i="14"/>
  <c r="I57" i="14"/>
  <c r="J57" i="14" s="1"/>
  <c r="J66" i="14" s="1"/>
  <c r="I43" i="14"/>
  <c r="J43" i="14" s="1"/>
  <c r="J53" i="14" s="1"/>
  <c r="I29" i="14"/>
  <c r="J29" i="14" s="1"/>
  <c r="J39" i="14" s="1"/>
  <c r="O19" i="14"/>
  <c r="J17" i="14"/>
  <c r="J27" i="14" s="1"/>
  <c r="J35" i="15" l="1"/>
  <c r="F17" i="13" s="1"/>
  <c r="J26" i="22"/>
  <c r="F44" i="13" s="1"/>
  <c r="J24" i="22"/>
  <c r="J28" i="22" s="1"/>
  <c r="F22" i="13" s="1"/>
  <c r="J47" i="21"/>
  <c r="J70" i="21" s="1"/>
  <c r="J78" i="14"/>
  <c r="J40" i="14"/>
  <c r="J102" i="14" s="1"/>
  <c r="F16" i="13" s="1"/>
  <c r="J77" i="14"/>
  <c r="O38" i="19"/>
  <c r="I40" i="19" s="1"/>
  <c r="J40" i="19" s="1"/>
  <c r="J44" i="19" s="1"/>
  <c r="N16" i="21" l="1"/>
  <c r="I16" i="21" s="1"/>
  <c r="J16" i="21" s="1"/>
  <c r="J30" i="21" s="1"/>
  <c r="J71" i="21" s="1"/>
  <c r="N71" i="21" s="1"/>
  <c r="J74" i="21"/>
  <c r="F21" i="13" s="1"/>
  <c r="J73" i="21"/>
  <c r="F43" i="13" s="1"/>
  <c r="J43" i="19"/>
  <c r="F42" i="13" s="1"/>
  <c r="F20" i="13"/>
  <c r="N98" i="14"/>
  <c r="I54" i="12"/>
  <c r="I60" i="12" l="1"/>
  <c r="I17" i="12"/>
  <c r="T88" i="12" l="1"/>
  <c r="S90" i="12" s="1"/>
  <c r="T94" i="12" s="1"/>
  <c r="I28" i="12" l="1"/>
  <c r="J28" i="12" s="1"/>
  <c r="J17" i="12"/>
  <c r="I20" i="12"/>
  <c r="J20" i="12" s="1"/>
  <c r="I23" i="12"/>
  <c r="J23" i="12" s="1"/>
  <c r="I33" i="12"/>
  <c r="J33" i="12" s="1"/>
  <c r="I36" i="12"/>
  <c r="J36" i="12" s="1"/>
  <c r="I39" i="12"/>
  <c r="J39" i="12" s="1"/>
  <c r="I45" i="12"/>
  <c r="J45" i="12" s="1"/>
  <c r="I48" i="12"/>
  <c r="J48" i="12" s="1"/>
  <c r="J54" i="12"/>
  <c r="J60" i="12"/>
  <c r="I65" i="12"/>
  <c r="J65" i="12" s="1"/>
  <c r="J78" i="12" s="1"/>
  <c r="J63" i="12" l="1"/>
  <c r="J31" i="12"/>
  <c r="J26" i="12"/>
  <c r="J42" i="12"/>
  <c r="J51" i="12"/>
  <c r="J79" i="12" l="1"/>
  <c r="F37" i="13" s="1"/>
  <c r="J81" i="12" l="1"/>
  <c r="F15" i="13" l="1"/>
  <c r="J22" i="13" s="1"/>
  <c r="N19" i="23" s="1"/>
  <c r="L16" i="23" s="1"/>
  <c r="N81" i="12"/>
  <c r="N82" i="12" s="1"/>
  <c r="L17" i="23" l="1"/>
  <c r="I15" i="23" s="1"/>
  <c r="J15" i="23" s="1"/>
  <c r="J18" i="23" l="1"/>
  <c r="F23" i="13" s="1"/>
  <c r="F26" i="13" s="1"/>
  <c r="F27" i="13" s="1"/>
  <c r="F28" i="13" s="1"/>
  <c r="F29" i="13" s="1"/>
  <c r="F30" i="13" s="1"/>
  <c r="J16" i="23"/>
</calcChain>
</file>

<file path=xl/sharedStrings.xml><?xml version="1.0" encoding="utf-8"?>
<sst xmlns="http://schemas.openxmlformats.org/spreadsheetml/2006/main" count="850" uniqueCount="571">
  <si>
    <t>ΕΛΛΗΝΙΚΗ ΔΗΜΟΚΡΑΤΙΑ</t>
  </si>
  <si>
    <t>Είδος Εργασιών</t>
  </si>
  <si>
    <t>ΤΟΠ.2</t>
  </si>
  <si>
    <t>ΤΟΠ.3</t>
  </si>
  <si>
    <t>ΤΟΠ.4</t>
  </si>
  <si>
    <t>τεμάχιο</t>
  </si>
  <si>
    <t>Βάθρο ύψους 0,40μ για εμπροσθοτομίες ή οπισθοτομίες</t>
  </si>
  <si>
    <t>Αναγνώριση &amp; χρήση σημείου για εξάρτηση εμττροσθοτομίας ή πολυγων. Δικτύου</t>
  </si>
  <si>
    <t>στρέμμα</t>
  </si>
  <si>
    <t>Προσαύξηση τιμής στα καλυμμένα από φύτευση ή ύδατα εδάφη</t>
  </si>
  <si>
    <t>Χλμ</t>
  </si>
  <si>
    <t>Χωροστάθμηση συνήθους ακρίβειας σε έδαφος πεδινό</t>
  </si>
  <si>
    <t>Χωροσταθμική αφετηρία επί ήλου</t>
  </si>
  <si>
    <t>Β. ΜΕΛΕΤΕΣ ΣΥΓΚΟΙΝΩΝΙΑΚΩΝ ΕΡΓΩΝ</t>
  </si>
  <si>
    <t>ΜΕΛΕΤΕΣ ΟΔΩΝ</t>
  </si>
  <si>
    <t>ΜΕΛΕΤΕΣ ΚΟΜΒΩΝ</t>
  </si>
  <si>
    <t>ΟΔΟ.4</t>
  </si>
  <si>
    <t>Οριστική Μελέτη (Ο.Μ.) σήμανσης και ασφάλισης κύριας οδού σε έδαφος πεδινό</t>
  </si>
  <si>
    <t xml:space="preserve">Οριστική Μελέτη (Ο.Μ.) σήμανσης και ασφάλισης κόμβων σε έδαφος πεδινό
</t>
  </si>
  <si>
    <t>ΜΕΛΕΤΕΣ ΑΠΟΧΕΤΕΥΣΗΣ - ΑΠΟΣΤΡΑΓΓΙΣΗΣ ΟΔΟΝ ΕΝΤΟΣ &amp; ΕΚΤΟΣ ΑΣΤΙΚΩΝ ΠΕΡΙΟΧΩΝ</t>
  </si>
  <si>
    <t>ΠΕΡΙΒΑΛΛΟΝΤΙΚΗ ΘΕΩΡΗΣΗ ΕΡΓΩΝ ΟΔΟΠΟΙΪΑΣ</t>
  </si>
  <si>
    <t xml:space="preserve">ΠΕΡ.2
ΠΕΡ.3
</t>
  </si>
  <si>
    <t xml:space="preserve">Ε. ΠΕΡΙΒΑΛΛΟΝΤΙΚΕΣ ΜΕΛΕΤΕΣ </t>
  </si>
  <si>
    <t>Οι Επιβλέποντες Μηχανικοί</t>
  </si>
  <si>
    <t>Προσαύξηση τιμής λόγω κτηματογράφησης ζώνης χάραξης έργου</t>
  </si>
  <si>
    <t>A1</t>
  </si>
  <si>
    <t>A2</t>
  </si>
  <si>
    <t>A3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</si>
  <si>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</si>
  <si>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</si>
  <si>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</si>
  <si>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</si>
  <si>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</si>
  <si>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</si>
  <si>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</si>
  <si>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</si>
  <si>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</si>
  <si>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</si>
  <si>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Ε1</t>
  </si>
  <si>
    <t>Δ1</t>
  </si>
  <si>
    <t>ΤΡΙΓΩΝΙΣΜΟΣ</t>
  </si>
  <si>
    <t>ΚΤΗΜΑΤΟΓΡΑΦΗΣΕΙΣ</t>
  </si>
  <si>
    <t>ΠΟΛΥΓΩΝΟΜΕΤΡΙΕΣ</t>
  </si>
  <si>
    <t>ΓΕΩΜΕΤΡΙΚΕΣ ΧΩΡΟΣΤΑΘΜΙΣΕΙΣ</t>
  </si>
  <si>
    <t>ΕΠΙΓΕΙΕΣ ΤΟΠΟΓΡΑΦΙΚΕΣ ΑΠΟΤΥΠΩΣΕΙΣ  ΑΔΟΜΗΤΩΝ ΕΚΤΑΣΕΩΝ</t>
  </si>
  <si>
    <t>ΠΕΡΙΒΑΛΛΟΝΤΙΚΗ ΜΕΛΕΤΗ (Π.Π.Ε.Α. &amp; Μ.Π.Ε)</t>
  </si>
  <si>
    <t>κ=</t>
  </si>
  <si>
    <t xml:space="preserve">A2 ΕΠΙΓΕΙΕΣ ΤΟΠΟΓΡΑΦΙΚΕΣ ΑΠΟΤΥΠΩΣΕΙΣ </t>
  </si>
  <si>
    <t>A1 ΤΟΠΟΓΡΑΦΙΚΑ ΔΙΚΤΥΑ</t>
  </si>
  <si>
    <t>B2 Οριστική Μελέτη Κύριας Οδού</t>
  </si>
  <si>
    <t>A3 ΚΤΗΜΑΤΟΓΡΑΦΗΣΕΙΣ - ΚΤΗΜΑΤΟΛΟΓΙΑ</t>
  </si>
  <si>
    <t>Ανάλυση Υπολογισμών</t>
  </si>
  <si>
    <t>A=α*c*τκ</t>
  </si>
  <si>
    <t>Χωροστάθμηση με ενδιάμεσα σημεία σε έδαφος πεδινό</t>
  </si>
  <si>
    <t>A=Ε*c*τκ</t>
  </si>
  <si>
    <t>A=L*c*τκ</t>
  </si>
  <si>
    <t>ΚΤΗΜΑΤΟΛΟΓΙΚΑ ΔΙΑΓΡΑΜΜΑΤΑ &amp; ΠΙΝΑΚΕΣ ΑΝΑΓΟΓΙΣΜΟΥ ΣΕ ΟΔΟΥΣ ΕΚΤΟΣ ΣΧΕΔΙΟΥ</t>
  </si>
  <si>
    <t>Μ2% = 100% Μείωση λόγω σύγχρονης φωτογραμμετρικής αποτύπωσης: ΌΧΙ</t>
  </si>
  <si>
    <t>A=Ε*c*Π1*Μ1*Μ2*τκ</t>
  </si>
  <si>
    <t>Μερικό Αθροισμα</t>
  </si>
  <si>
    <t>Ι1=34,20 Πυκνότητα όψεων ιδιοκτησιών ανά χλμ :1-40</t>
  </si>
  <si>
    <t>Ι2=0,0 Πυκνότητα όψεων ιδιοκτησιών ανά χλμ :41-55</t>
  </si>
  <si>
    <t>Ι3=0,0 Πυκνότητα όψεων ιδιοκτησιών ανά χλμ :56-70</t>
  </si>
  <si>
    <t>Ι4=0,0 Πυκνότητα όψεων ιδιοκτησιών ανά χλμ :71-80</t>
  </si>
  <si>
    <t>Π1%=100%     Προσαύξηση 20% στην κλίμακα 1:500 : ΟΧΙ</t>
  </si>
  <si>
    <t>Μ1% = 100%      Μείωση 20% στην κλίμακα 1:2000: ΌΧΙ</t>
  </si>
  <si>
    <t>Α=c*π*ρ*σ*(L1+L2*1,25)*Π%*Σ1*Σ2*τκ</t>
  </si>
  <si>
    <t>c=10.000,00 Τρισκελής Ι/Κ υπεραστικών οδών</t>
  </si>
  <si>
    <t>Α=c*π*ρ*σ*(Lσ+Lδ*0,25)*Π%*Σ1*τκ (εκπόνηση ταυτόχρονα με τη μελέτη οδοποιίας της οδού)</t>
  </si>
  <si>
    <t>c=10.000,00 Τετρασκελής Ι/Κ υπεραστικών οδών</t>
  </si>
  <si>
    <t>Π%=100,00% Ποσοστό αμοιβής Ο.Μ. σήμανσης και ασφάλισης</t>
  </si>
  <si>
    <t>Α=c*π*ρ*σ*L*Π%*τκ</t>
  </si>
  <si>
    <t>Κ3 =1 περιοχή  μη αστική</t>
  </si>
  <si>
    <t>ν= 1,00 Συντελεστής ανθρωπογενούς περιβάλλοντος</t>
  </si>
  <si>
    <t xml:space="preserve"> Πλήθος Τριγωνομετρικών σημείων IV τάξης</t>
  </si>
  <si>
    <t xml:space="preserve"> Τιμή Τριγωνομετρικού σημείου IV τάξης</t>
  </si>
  <si>
    <t xml:space="preserve"> Πλήθος Βάθρων</t>
  </si>
  <si>
    <t xml:space="preserve"> Τιμή βάθρου</t>
  </si>
  <si>
    <r>
      <t xml:space="preserve">c= 65.00 </t>
    </r>
    <r>
      <rPr>
        <sz val="9"/>
        <rFont val="Calibri"/>
        <family val="2"/>
        <charset val="161"/>
      </rPr>
      <t>€</t>
    </r>
  </si>
  <si>
    <t xml:space="preserve">Κτηματογράφηση κλ.1:1000 με σημεία κατασκευών: &lt;60 ανά 10 στρ. 
</t>
  </si>
  <si>
    <t>Π1% = 100% Προσαυξηση 5% ανά 5% μείωση συμβατικού πλάτους : ΌΧΙ</t>
  </si>
  <si>
    <t>Σ1=1,00  Εναλλακτική λύση :ΟΧΙ</t>
  </si>
  <si>
    <t>Σ2=1,00 Επανυποβολή λόγω υποστηρικτικών μελετών: ΟΧΙ</t>
  </si>
  <si>
    <t>Σ1=1,00 Επανυποβολή λόγω υποστηρικτικών μελετών: ΟΧΙ</t>
  </si>
  <si>
    <t>Σ=1,00 Διαρύθμιση ή προσθήκη ΌΧΙ</t>
  </si>
  <si>
    <t>Πολυγωνομετρικά σημεία εκτός κατοικημένων περιοχών</t>
  </si>
  <si>
    <t>Β10 Σήμανση - Ασφάλιση Κόμβων</t>
  </si>
  <si>
    <t xml:space="preserve">Σύνταξη μελέτης ΣΑΥ-ΦΑΥ </t>
  </si>
  <si>
    <t>Συντελεστής ανεξαρτήτως κατηγορίας έργου</t>
  </si>
  <si>
    <t>μ=</t>
  </si>
  <si>
    <t>β%=</t>
  </si>
  <si>
    <t>Συντελεστής αμοιβής επί τοις εκατό: β=κ+[μ/(ΣΑi/175*τκ)^1/3]</t>
  </si>
  <si>
    <t>Αμοιβή  σύνταξης ΣΑΥ-ΦΑΥ</t>
  </si>
  <si>
    <r>
      <t xml:space="preserve">c= 92,00 </t>
    </r>
    <r>
      <rPr>
        <sz val="9"/>
        <rFont val="Calibri"/>
        <family val="2"/>
        <charset val="161"/>
      </rPr>
      <t>€ Τιμή ανά χλμ</t>
    </r>
  </si>
  <si>
    <t>A=(l1*c1+l2*c2+l3*c3+l4*c4+l5*c5)*Π1*Μ1*τκ</t>
  </si>
  <si>
    <t xml:space="preserve">Α=β*Κ1*Κ2*Κ3*Κ4*L*Π%*Σ1*τκ </t>
  </si>
  <si>
    <t>Κ1 =1,45 Κατηγορία: Κύριο οδικό δίκτυο ενιαίας επιφάνειας κυκλοφορίας)</t>
  </si>
  <si>
    <t>ΑΘΡΟΙΣΜΑ ΑΜΟΙΒΗΣ ΣΑΥ-ΦΑΥ</t>
  </si>
  <si>
    <t>Μονάδα Μέτρησης</t>
  </si>
  <si>
    <t xml:space="preserve">Π% =75%  Ποσοστό αμοιβής Ο.Μ. παραλειπόμενης Π.Μ. και Πρ.     </t>
  </si>
  <si>
    <t>c=2.700,00 Κατηγορία έργου: Yπεραστική οδός</t>
  </si>
  <si>
    <t>c=1.800,00 Κατηγορία έργου: Yπεραστική οδός</t>
  </si>
  <si>
    <r>
      <t xml:space="preserve">c= 800,00 </t>
    </r>
    <r>
      <rPr>
        <sz val="9"/>
        <rFont val="Calibri"/>
        <family val="2"/>
        <charset val="161"/>
      </rPr>
      <t>€</t>
    </r>
  </si>
  <si>
    <r>
      <t xml:space="preserve">c= 30,00 </t>
    </r>
    <r>
      <rPr>
        <sz val="9"/>
        <rFont val="Calibri"/>
        <family val="2"/>
        <charset val="161"/>
      </rPr>
      <t>€ Τιμή ανά στρέμμα πεδινού</t>
    </r>
  </si>
  <si>
    <r>
      <t xml:space="preserve">c= 18,00 </t>
    </r>
    <r>
      <rPr>
        <sz val="9"/>
        <rFont val="Calibri"/>
        <family val="2"/>
        <charset val="161"/>
      </rPr>
      <t>€ Προσαύξηση ανά στρέμμα καλυμμένου: 60%*30</t>
    </r>
  </si>
  <si>
    <r>
      <t xml:space="preserve">c= 18,00 </t>
    </r>
    <r>
      <rPr>
        <sz val="9"/>
        <rFont val="Calibri"/>
        <family val="2"/>
        <charset val="161"/>
      </rPr>
      <t xml:space="preserve">€ Τιμή ανά στρέμμα </t>
    </r>
  </si>
  <si>
    <t>Μ1% = 80% Μείωση λόγω σύγχρονης τοπογραφικής αποτύπωσης: ΝΑΙ</t>
  </si>
  <si>
    <r>
      <t xml:space="preserve">c1= 3.300,00 </t>
    </r>
    <r>
      <rPr>
        <sz val="9"/>
        <rFont val="Calibri"/>
        <family val="2"/>
        <charset val="161"/>
      </rPr>
      <t>€ Τιμή για πυκνότητα όψεων ιδιοκτησιών ανά χλμ 1-40</t>
    </r>
  </si>
  <si>
    <r>
      <t xml:space="preserve">c2=4.900,00 </t>
    </r>
    <r>
      <rPr>
        <sz val="9"/>
        <rFont val="Calibri"/>
        <family val="2"/>
        <charset val="161"/>
      </rPr>
      <t>€ Τιμή για πυκνότητα όψεων ιδιοκτησιών ανά χλμ 41-55</t>
    </r>
  </si>
  <si>
    <r>
      <t xml:space="preserve">c3=5.400,00 </t>
    </r>
    <r>
      <rPr>
        <sz val="9"/>
        <rFont val="Calibri"/>
        <family val="2"/>
        <charset val="161"/>
      </rPr>
      <t>€ Τιμή για πυκνότητα όψεων ιδιοκτησιών ανά χλμ 56-70</t>
    </r>
  </si>
  <si>
    <r>
      <t xml:space="preserve">c4=5.800,00 </t>
    </r>
    <r>
      <rPr>
        <sz val="9"/>
        <rFont val="Calibri"/>
        <family val="2"/>
        <charset val="161"/>
      </rPr>
      <t xml:space="preserve">€ Τιμή για πυκνότητα όψεων ιδιοκτησιών ανά χλμ :71-80 </t>
    </r>
  </si>
  <si>
    <r>
      <t xml:space="preserve">c5=6.200,00 </t>
    </r>
    <r>
      <rPr>
        <sz val="9"/>
        <rFont val="Calibri"/>
        <family val="2"/>
        <charset val="161"/>
      </rPr>
      <t>€ Τιμή για πυκνότητα όψεων ιδιοκτησιών ανά χλμ : 81 και άνω</t>
    </r>
  </si>
  <si>
    <t>Ι5=0,00 Πυκνότητα όψεων ιδιοκτησιών ανά χλμ :81 και άνω</t>
  </si>
  <si>
    <t>σ =1,00  Συντελεστής γεωμορφολογίας (κλίσεις εδάφους 0-10%)</t>
  </si>
  <si>
    <t>c= 8.000,00 Τύπος τμήματος : Υπεραστική οδός</t>
  </si>
  <si>
    <t>σ =1,00  Συντελεστής γεωμορφολογίας (κλίσεις εδάφους 0%-10%)</t>
  </si>
  <si>
    <t>σ =1,00 Συντελεστής γεωμορφολογίας (κλίσεις εδάφους 0%-10%)</t>
  </si>
  <si>
    <t>Τοπογραφική Αποτύπωση ζώνης κλ.1:500 με σημεία κατασκευών: 0-20 ανά 10στρ και έδαφος πεδινό</t>
  </si>
  <si>
    <t>Α=(Κ*C*μ*ν*φΛ0,8)*Π%*τκ</t>
  </si>
  <si>
    <t>Α. ΤΟΠΟΓΡΑΦΙΚΕΣ ΜΕΛΕΤΕΣ</t>
  </si>
  <si>
    <t>β = 4.500,00 Τύπος Έργου: Οδικό έργο</t>
  </si>
  <si>
    <t>π=1,00 Οδός κατηγορίας ΑΙV</t>
  </si>
  <si>
    <t xml:space="preserve">                      Αθήνα, </t>
  </si>
  <si>
    <t xml:space="preserve">Μέτρηση νέου &amp; χρήση υφιστάμενου τριγωνομ. σημείου IV τάξης
</t>
  </si>
  <si>
    <r>
      <t xml:space="preserve">ΜΕΛΕΤΕΣ ΣΗΜΑΝΣΗΣ </t>
    </r>
    <r>
      <rPr>
        <b/>
        <sz val="9"/>
        <rFont val="Calibri"/>
        <family val="2"/>
        <charset val="161"/>
      </rPr>
      <t>&amp;</t>
    </r>
    <r>
      <rPr>
        <b/>
        <sz val="9"/>
        <rFont val="Arial Narrow"/>
        <family val="2"/>
        <charset val="161"/>
      </rPr>
      <t xml:space="preserve"> ΑΣΦΑΛΙΣΗΣ ΟΔΙΚΩΝ ΕΡΓΩΝ</t>
    </r>
  </si>
  <si>
    <t xml:space="preserve">Ποσότητες  </t>
  </si>
  <si>
    <r>
      <t>Σύνταξη κτηματολογικών διαγραμμάτων κλ.</t>
    </r>
    <r>
      <rPr>
        <sz val="8.1"/>
        <rFont val="Arial Narrow"/>
        <family val="2"/>
      </rPr>
      <t xml:space="preserve"> </t>
    </r>
    <r>
      <rPr>
        <sz val="9"/>
        <rFont val="Arial Narrow"/>
        <family val="2"/>
      </rPr>
      <t xml:space="preserve">1:1000 &amp; πινάκων αναλογισμού σε οδούς εκτός σχεδίου
</t>
    </r>
  </si>
  <si>
    <t>ΤΕΥΧΟΣ ΠΡΟΕΚΤΙΜΩΜΕΝΩΝ ΑΜΟΙΒΩΝ</t>
  </si>
  <si>
    <t>ΠΕΡΙΦΕΡΕΙΑ ΒΟΡΕΙΟΥ ΑΙΓΑΙΟΥ</t>
  </si>
  <si>
    <t>ΓΕΝΙΚΗ ΔΙΕΥΘΥΝΣΗ ΑΝΑΠΤΥΞΙΑΚΟΥ</t>
  </si>
  <si>
    <t>ΠΡ/ΣΜΟΥ ΠΕΡ/ΝΤΟΣ ΚΑΙ ΥΠΟΔΟΜΩΝ</t>
  </si>
  <si>
    <t>ΠΕΡΙΦΕΡΕΙΑΚΗ ΕΝΟΤΗΤΑ ΣΑΜΟΥ</t>
  </si>
  <si>
    <t>ΔΙΕΥΘΥΝΣΗ ΤΕΧΝΙΚΩΝ ΕΡΓΩΝ</t>
  </si>
  <si>
    <t>Σάμος</t>
  </si>
  <si>
    <t>ΆΡΘΡΟ Κ.Π.Α.</t>
  </si>
  <si>
    <t>Φυσικό Αντικείμενο</t>
  </si>
  <si>
    <t xml:space="preserve">Δαπάνη </t>
  </si>
  <si>
    <t>ΚΑΤΗΓΟΡΙΑ ΜΕΛΕΤΗΣ</t>
  </si>
  <si>
    <t xml:space="preserve">Τιμή μονάδας (ευρώ)   </t>
  </si>
  <si>
    <t xml:space="preserve">Προμελέτη  κύριας οδού σε έδαφος πεδινό 
</t>
  </si>
  <si>
    <t>ΤΟΠ.5</t>
  </si>
  <si>
    <t>ΤΟΠ.8</t>
  </si>
  <si>
    <t>Π%=40,00%(35%+5%) Ποσοστό αμοιβής Προμελέτης με παράλειψη σταδίου μελέτης αναγνωρισης</t>
  </si>
  <si>
    <t xml:space="preserve">Π%=40,00%   Ποσοστό αμοιβής Ο.Μ. </t>
  </si>
  <si>
    <t xml:space="preserve">Οριστική Μελέτη (Ο.Μ.) κύριας οδού σε έδαφος πεδινό </t>
  </si>
  <si>
    <t xml:space="preserve">L1=0 Μήκος νέου τμήματος </t>
  </si>
  <si>
    <t>π=1,0 Ανώτερη κατηγορία διασταυρούμενων οδών: AlV</t>
  </si>
  <si>
    <t>Π%=67,50% Ποσοστό αμοιβής Ο.Μ. παραλειπομένης Πρoμ. Κ προκ.</t>
  </si>
  <si>
    <t>π=1,00 Οδός κατηγορίας AlV</t>
  </si>
  <si>
    <t>ΥΔΡ.1&amp;  ΥΔΡ.2.1</t>
  </si>
  <si>
    <t xml:space="preserve">ΝΔ = 0 το πλήθος των Κάτω Διαβάσεων </t>
  </si>
  <si>
    <t>ΜΕΛΕΤΗ ΟΧΕΤΩΝ</t>
  </si>
  <si>
    <t>ΥΔΡ.1&amp;  ΥΔΡ.2.2</t>
  </si>
  <si>
    <t xml:space="preserve"> A=155 x (10 + 0,15 x L) x*Π%x  τκ </t>
  </si>
  <si>
    <t>Η= το ελευθερο ύψος οχετού</t>
  </si>
  <si>
    <t xml:space="preserve"> L= I+(1,5 x H+2) μήκος οχετου (μ)  προσαυξημένο κατά 1,50*Η+2 =20</t>
  </si>
  <si>
    <t>L</t>
  </si>
  <si>
    <t>F</t>
  </si>
  <si>
    <t xml:space="preserve">Περιβαλλοντική Μελέτη ( Μ.Π.Ε.) 
</t>
  </si>
  <si>
    <t>Π*%= 80,00% ποσοστο μελέτης (απευθείας εκπόνηση ΜΠΕ )</t>
  </si>
  <si>
    <t>μ= 1,60 Συντελεστής φυσικού &amp; πολιτισμικού  περιβάλλοντος</t>
  </si>
  <si>
    <t>B1 Προμελέτη Κύριας Οδού σε έδαφος πεδινό</t>
  </si>
  <si>
    <t>Β4  Οριστική Μελέτη Κόμβων</t>
  </si>
  <si>
    <t>Β6 Σήμανση - Ασφάλιση Κύριας Οδού</t>
  </si>
  <si>
    <t>ΣΑi=</t>
  </si>
  <si>
    <r>
      <t xml:space="preserve">ΣΑi = 991.822,61 </t>
    </r>
    <r>
      <rPr>
        <sz val="10"/>
        <rFont val="Calibri"/>
        <family val="2"/>
        <charset val="161"/>
      </rPr>
      <t>€</t>
    </r>
    <r>
      <rPr>
        <sz val="10"/>
        <rFont val="Arial Narrow"/>
        <family val="2"/>
      </rPr>
      <t>το σύνολο των προεκτιμώμενων αμοιβών των προς εκπόνηση μελετών για συγκεκριμένο έργο και όλες τις κατηγορίες μελετών</t>
    </r>
  </si>
  <si>
    <t>β = συντελεστής αμοιβής επί τοις εκατό (%)</t>
  </si>
  <si>
    <t xml:space="preserve">κ = </t>
  </si>
  <si>
    <t>μ =</t>
  </si>
  <si>
    <r>
      <t xml:space="preserve">Σ </t>
    </r>
    <r>
      <rPr>
        <vertAlign val="subscript"/>
        <sz val="11"/>
        <rFont val="Arial Narrow"/>
        <family val="2"/>
        <charset val="161"/>
      </rPr>
      <t>ολ</t>
    </r>
    <r>
      <rPr>
        <sz val="11"/>
        <rFont val="Arial Narrow"/>
        <family val="2"/>
        <charset val="161"/>
      </rPr>
      <t xml:space="preserve"> = </t>
    </r>
  </si>
  <si>
    <t>ΑΠΡΟΒΛΕΠΤΑ 15% (Ν4412/2016, Αρθρο 53, &amp;8α)</t>
  </si>
  <si>
    <t>ΤΟΠ.16</t>
  </si>
  <si>
    <t>ΟΔΟ.1
ΟΔΟ.3</t>
  </si>
  <si>
    <t>ΟΔΟ.2
ΟΔΟ.3</t>
  </si>
  <si>
    <t>ΟΔΟ.2
ΟΔΟ.3
ΓΈΝ.8</t>
  </si>
  <si>
    <t>Οριστική Μελέτη (Ο.Μ.) αποχέτευσης - αποστράγγισης οδου</t>
  </si>
  <si>
    <t>B4</t>
  </si>
  <si>
    <t>B5</t>
  </si>
  <si>
    <t>B6</t>
  </si>
  <si>
    <t>Β7</t>
  </si>
  <si>
    <t>ΓΕΝ.6</t>
  </si>
  <si>
    <t>L=4,50 Μήκος ζώνης χάραξης</t>
  </si>
  <si>
    <t>ρ = 1,06  Συντελεστής μήκους (ρ=1,625-0,125*L)</t>
  </si>
  <si>
    <t>L2=4,50 Μήκος βελτιούμενου τμήματος</t>
  </si>
  <si>
    <t xml:space="preserve">L1=0,0 Μήκος νέου τμήματος </t>
  </si>
  <si>
    <t>ΣΤ1</t>
  </si>
  <si>
    <t>ΓΛΕ.1</t>
  </si>
  <si>
    <r>
      <t>Χλμ</t>
    </r>
    <r>
      <rPr>
        <vertAlign val="superscript"/>
        <sz val="9"/>
        <rFont val="Arial Narrow"/>
        <family val="2"/>
        <charset val="161"/>
      </rPr>
      <t>2</t>
    </r>
  </si>
  <si>
    <t>κ1= 9.250,00 Συντελεστής κλίμακας 1/1.000</t>
  </si>
  <si>
    <t>Ε= 1,50 Επιφάνεια χαρτογράφησης</t>
  </si>
  <si>
    <t>Α=κ1*ΕΛ0,6*τκ (minΑ=2500*τκ)</t>
  </si>
  <si>
    <t>ΣΤ2</t>
  </si>
  <si>
    <t>Γεωλογική μηκοτομή σε κλίμακα 1/1.000 (εύρος
χαρτογράφησης 0,30χλμ)</t>
  </si>
  <si>
    <t>ΓΛΕ.2</t>
  </si>
  <si>
    <t xml:space="preserve">κ1= 9.250,00 Συντελεστής κλίμακας 1/1.000 </t>
  </si>
  <si>
    <r>
      <t>Μ=Κ1*Ρ</t>
    </r>
    <r>
      <rPr>
        <vertAlign val="superscript"/>
        <sz val="9"/>
        <rFont val="Arial Narrow"/>
        <family val="2"/>
        <charset val="161"/>
      </rPr>
      <t>0,6</t>
    </r>
    <r>
      <rPr>
        <sz val="9"/>
        <rFont val="Arial Narrow"/>
        <family val="2"/>
      </rPr>
      <t>*14%*Σ+3*γ)*τκ</t>
    </r>
  </si>
  <si>
    <t>ΣΤ3</t>
  </si>
  <si>
    <t>Γεωλογικές τομές και διατομές σε κλίμακα 1/200</t>
  </si>
  <si>
    <t>ΓΛΕ.3</t>
  </si>
  <si>
    <t>μμ</t>
  </si>
  <si>
    <t>κ2= 1,07 Συντελεστής κλίμακας 1/200</t>
  </si>
  <si>
    <t>π= 50,00 Πλάτος τομής/διατομής (μ)</t>
  </si>
  <si>
    <t>ΣΤ4</t>
  </si>
  <si>
    <t>Καταγραφές σημείων εμφάνισης νερού και γεωερευνητικών εργασιών</t>
  </si>
  <si>
    <t>ΓΛΕ.10</t>
  </si>
  <si>
    <t>π2=0 Πλήθος υπόλοιπων σημείων (πέραν των 200)</t>
  </si>
  <si>
    <t>Α=(ττ1 *105+π2*90)*τκ</t>
  </si>
  <si>
    <t>ΣΤ5</t>
  </si>
  <si>
    <t>Μετρήσεις σημείων εμφάνισης νερού και γεωερευνητικών εργασιών</t>
  </si>
  <si>
    <t>ΓΛΕ.11</t>
  </si>
  <si>
    <t>Πλήθος σημείων</t>
  </si>
  <si>
    <t>Α=π1 *45*τκ (μετρήσεις ταυτόχρονα με την καταγραφή)</t>
  </si>
  <si>
    <t>ΣΤ6</t>
  </si>
  <si>
    <r>
      <t>Χάρτης Δανείων υλικών και αποθεσιοθαλάμων σε κλίμακα 1/5.000 (συνολική έκταση χαρτογράφησης 5,00χλμ</t>
    </r>
    <r>
      <rPr>
        <vertAlign val="superscript"/>
        <sz val="9"/>
        <rFont val="Arial Narrow"/>
        <family val="2"/>
        <charset val="161"/>
      </rPr>
      <t>2</t>
    </r>
    <r>
      <rPr>
        <sz val="9"/>
        <rFont val="Arial Narrow"/>
        <family val="2"/>
      </rPr>
      <t>)</t>
    </r>
  </si>
  <si>
    <t>ΓΛΕ.4</t>
  </si>
  <si>
    <t>κ1= 5.280,00 Συντελεστής κλίμακας 1/5.000</t>
  </si>
  <si>
    <t>L= 5,00  Μήκος χάρτη σε km ή αρ. περιοχών με L=1,00</t>
  </si>
  <si>
    <t>π=1,00 πλάτος χαρτογράφησης</t>
  </si>
  <si>
    <t>Ε=5,00 επιφάνεια χαρτογράφησης</t>
  </si>
  <si>
    <r>
      <t>Α1=Κ1*Ε</t>
    </r>
    <r>
      <rPr>
        <vertAlign val="superscript"/>
        <sz val="9"/>
        <rFont val="Arial Narrow"/>
        <family val="2"/>
        <charset val="161"/>
      </rPr>
      <t>0,6</t>
    </r>
    <r>
      <rPr>
        <sz val="9"/>
        <rFont val="Arial Narrow"/>
        <family val="2"/>
      </rPr>
      <t>*τκ (minA=2500*τκ)</t>
    </r>
  </si>
  <si>
    <t>Π%= 30,00% Ποσοστό αμοιβής σύνταξης χάρτη</t>
  </si>
  <si>
    <t>Α=30%*Α1</t>
  </si>
  <si>
    <t>ΣΤ7</t>
  </si>
  <si>
    <t>Τεχνική έκθεση της Οριστικής Γεωλογικής Μελέτης (Ο.Γ.Μ.)</t>
  </si>
  <si>
    <t>ΓΛΕ.17</t>
  </si>
  <si>
    <t>Π%= 25,00% Ποσοστό αμοιβής σύνταξης τεχνικής έκθεσης της Ο.Γ.Μ.</t>
  </si>
  <si>
    <t>ΓΛΕ=Π%*Α ’ (min ΓΛΕ - 500*τκ)</t>
  </si>
  <si>
    <t xml:space="preserve">Ζ. ΓΕΩΤΕΧΝΙΚΕΣ ΕΡΓΑΣΙΕΣ, ΔΟΚΙΜΕΣ &amp; ΜΕΛΕΤΕΣ </t>
  </si>
  <si>
    <t xml:space="preserve">Ζ1. ΓΕΩΤΕΧΝΙΚΕΣ ΜΕΛΕΤΕΣ </t>
  </si>
  <si>
    <t>ΠΡΟΓΡΑΜΜΑΤΙΣΜΟΣ ΚΑΙ ΑΞΙΟΛΟΓΗΣΗ ΓΕΩΤΕΧΝΙΚΩΝ ΕΡΕΥΝΩΝ</t>
  </si>
  <si>
    <t>Ζ1.1</t>
  </si>
  <si>
    <t>Έκθεση Προγράμματος Γεωτεχνικών Ερευνών &amp; Έκθεση Αξιολόγησης Γεωτεχνικών Ερευνών</t>
  </si>
  <si>
    <t>Π%= 15,00% Ποσοστό αμοιβής επίβλεψης γεωτεχνικών εργασιών</t>
  </si>
  <si>
    <t>Σ(Φ)=Π%*Γ  (minΣ(Φ)=500*τκ €)</t>
  </si>
  <si>
    <t xml:space="preserve">ΓΕΩΤΕΧΝΙΚΕΣ ΜΕΛΕΤΕΣ </t>
  </si>
  <si>
    <t>Ζ1.2</t>
  </si>
  <si>
    <t>ΓΜΕ.2.4</t>
  </si>
  <si>
    <t>Κ=</t>
  </si>
  <si>
    <t>Συντελεστής κλίσης εδάφους θεμελίωσης :&lt;15ο</t>
  </si>
  <si>
    <t>Δ=</t>
  </si>
  <si>
    <t>Ε=</t>
  </si>
  <si>
    <t>Σ(Φ)=30*Κ*Δ*Ε^0,6  (minΣ(Φ)=1.500*τκ€)</t>
  </si>
  <si>
    <t>Ζ1.3</t>
  </si>
  <si>
    <r>
      <t xml:space="preserve">Συντελεστής κλίσης εδάφους θεμελίωσης </t>
    </r>
    <r>
      <rPr>
        <sz val="11"/>
        <rFont val="Calibri"/>
        <family val="2"/>
        <charset val="161"/>
      </rPr>
      <t>:</t>
    </r>
    <r>
      <rPr>
        <sz val="9.9"/>
        <rFont val="Arial Narrow"/>
        <family val="2"/>
      </rPr>
      <t>&lt;15</t>
    </r>
    <r>
      <rPr>
        <vertAlign val="superscript"/>
        <sz val="9.9"/>
        <rFont val="Arial Narrow"/>
        <family val="2"/>
        <charset val="161"/>
      </rPr>
      <t>ο</t>
    </r>
  </si>
  <si>
    <t>Εμβαδόν καταστρώματος τεχνικού: 10,5 x 5,0</t>
  </si>
  <si>
    <t>Γεωτεχνική μελέτη θεμελίωσης Οδοστρώματος</t>
  </si>
  <si>
    <t>ΓΜΕ.2.10</t>
  </si>
  <si>
    <t>Ν=</t>
  </si>
  <si>
    <t>Πλήθος εξεταζόμενων διατομών</t>
  </si>
  <si>
    <t>Σ(Φ)= 1000+ 1000 X ΝΛ0,6*ΤΚ =</t>
  </si>
  <si>
    <t xml:space="preserve">ΑΘΡΟΙΣΜΑ ΓΕΩΤΕΧΝΙΚΩΝ ΜΕΛΕΤΩΝ </t>
  </si>
  <si>
    <t>Ζ2. ΓΕΩΤΕΧΝΙΚΕΣ ΕΡΓΑΣΙΕΣ ΥΠΑΙΘΡΟΥ - ΕΡΓΑΣΤΗΡΙΑΚΕΣ ΔΟΚΙΜΕΣ</t>
  </si>
  <si>
    <t>ΕΡΓΑΣΙΕΣ ΥΠΑΙΘΡΟΥ</t>
  </si>
  <si>
    <t>Ζ2.1</t>
  </si>
  <si>
    <t>Εισκόμιση και αποκόμιση γεωτρητικού συγκροτήματος στην 1η θέση γεώτρησης</t>
  </si>
  <si>
    <t>ΓΤΕ.1.1</t>
  </si>
  <si>
    <t>Τ= 350,00 Απόσταση (χλμ) οδικής μεταφοράς 
Α1= 3.925,00 Οδική μεταφορά: 1300+(7,5*Τ)
Α2= 5.425,00 Μέσω θαλάσσης: 2800+(7,5*Τ)
Α=Α1*τκ
Εκτέλεση γεωτρήσεων σε Α και Β Φάση - 2 τεμάχη</t>
  </si>
  <si>
    <t>Ζ2.2</t>
  </si>
  <si>
    <t>Μετακίνηση γεωτρητικού συγκροτήματος από τη θέση γεωτρήσεως σε άλλη θέση</t>
  </si>
  <si>
    <t>ΓΤΕ.1.2</t>
  </si>
  <si>
    <t>ώρα</t>
  </si>
  <si>
    <t>Ζ2.3</t>
  </si>
  <si>
    <t>Βυτιοφόρο όχημα μεταφοράς νερού</t>
  </si>
  <si>
    <t>ΓΤΕ.1.3</t>
  </si>
  <si>
    <t>ημέρα</t>
  </si>
  <si>
    <t>Ζ2.4</t>
  </si>
  <si>
    <t>Περιστροφικές γεωτρήσεις σε σχηματισμούς αργίλων, ιλύος, άμμου, βράχων σκληρότητας μέχρι και 4 MOHS κλπ, σε βάθη 0-20μ</t>
  </si>
  <si>
    <t>ΓΤΕ.1.5</t>
  </si>
  <si>
    <t>Περιστροφικές γεωτρήσεις σε αμμοχάλικα ή κροκάλες και βράχους κατακερματισμένους με RQD &lt; 25%, σε βάθη 0- 20μ</t>
  </si>
  <si>
    <t>Ζ2.6</t>
  </si>
  <si>
    <t xml:space="preserve">Περιστροφικές γεωτρήσεις σε βράχους σκληρότητας μεγαλύτερης των 4 MOHS, σε βάθη 0- 20μ </t>
  </si>
  <si>
    <t>Πρόσθετη αποζημίωση για δειγματοληψίες εν ξηρώ σε γεωτρήσεις του άρθρου ΓΤΕ. 1.5, σε βάθη 0-20μ</t>
  </si>
  <si>
    <t>ΓΤΕ.1.17</t>
  </si>
  <si>
    <t>Ζ2.8</t>
  </si>
  <si>
    <t>Πρόσθετη αποζημίωση για δειγματοληψίες εν ξηρώ σε γεωτρήσεις του άρθρου ΓΤΕ.1.6, σε βάθη 0-20μ</t>
  </si>
  <si>
    <t>ΓΤΕ.1.18</t>
  </si>
  <si>
    <t>Πιεζομετρικός φιλτροσωλήνας (Standpipe piezometer)</t>
  </si>
  <si>
    <t>ΓΤΕ.1 .24</t>
  </si>
  <si>
    <t>Ζ2.10</t>
  </si>
  <si>
    <t>Κεφαλή πιεζόμετρου, αποκλισιομέτρου</t>
  </si>
  <si>
    <t>ΓΤΕ.1 .29</t>
  </si>
  <si>
    <t>Φ1α= 1, Αριθμός κεφαλών
Ca= 175,00 €, Κόστος κεφαλών
Α=Φ1α*Cα*τκ</t>
  </si>
  <si>
    <t>Ζ2.11</t>
  </si>
  <si>
    <t>Διάνοιξη ερευνητικού (φρέατος)</t>
  </si>
  <si>
    <t>ΓΤΕ.1 .33</t>
  </si>
  <si>
    <r>
      <t>μ</t>
    </r>
    <r>
      <rPr>
        <vertAlign val="superscript"/>
        <sz val="9"/>
        <rFont val="Arial Narrow"/>
        <family val="2"/>
      </rPr>
      <t>3</t>
    </r>
  </si>
  <si>
    <t>Ζ2.12</t>
  </si>
  <si>
    <t>Λήψεις διαταραγμένων δειγμάτων από φρέατα</t>
  </si>
  <si>
    <t>ΓΤΕ.1 .35</t>
  </si>
  <si>
    <t>Ζ2.13</t>
  </si>
  <si>
    <t>Δοκιμή διεισδύσεως (STANDARD PENETRATION TEST)</t>
  </si>
  <si>
    <t>ΓΤΕ.1 .49</t>
  </si>
  <si>
    <t>ΕΡΓΑΣΤΗΡΙΑΚΕΣ ΔΟΚΙΜΕΣ</t>
  </si>
  <si>
    <t>Ζ2.14</t>
  </si>
  <si>
    <t>Προπαρασκευή δειγμάτων εδάφους για εργαστηριακές δοκιμές</t>
  </si>
  <si>
    <t>ΓΤΕ.2.1</t>
  </si>
  <si>
    <t>Ζ2.15</t>
  </si>
  <si>
    <t>Προσδιορισμός φυσικής υγρασίας εδάφους</t>
  </si>
  <si>
    <t>ΓΤΕ.2.2</t>
  </si>
  <si>
    <t>Ζ2.16</t>
  </si>
  <si>
    <t>Προσδιορισμός ειδικού βάρους εδαφών</t>
  </si>
  <si>
    <t>ΓΤΕ.2.4</t>
  </si>
  <si>
    <t>Ζ2.17</t>
  </si>
  <si>
    <t>Προσδιορισμός ορίων ATTERBERG</t>
  </si>
  <si>
    <t>ΓΤΕ.2.5</t>
  </si>
  <si>
    <t>Ζ2.18</t>
  </si>
  <si>
    <t>Προσδιορισμός κοκκoμετρικής αναλύσεως</t>
  </si>
  <si>
    <t>ΓΤΕ.2.6</t>
  </si>
  <si>
    <t>Ζ2.19</t>
  </si>
  <si>
    <t>Κοκκομετρική ανάλυση με αραιόμετρο</t>
  </si>
  <si>
    <t>ΓΤΕ.2.8</t>
  </si>
  <si>
    <t>Ζ2.20</t>
  </si>
  <si>
    <t>Προσδιορισμός σχέσης υγρασίας-πυκνότητας εδαφών κατά PROCTOR</t>
  </si>
  <si>
    <t>ΓΤΕ.2.11</t>
  </si>
  <si>
    <t>Ζ2.21</t>
  </si>
  <si>
    <t>Προσδιορισμός καλιφορνιακαύ λόγου φέρουσας ικανότητας CBR</t>
  </si>
  <si>
    <t>ΓΤΕ.2.12</t>
  </si>
  <si>
    <t>Ζ2.22</t>
  </si>
  <si>
    <t>Δοκιμή μονοδιάστατης στερεοποίησης</t>
  </si>
  <si>
    <t>ΓΤΕ.2.13</t>
  </si>
  <si>
    <t>Ζ2.23</t>
  </si>
  <si>
    <t>Δοκιμή Διόγκωσης στα πλαίσια της δοκιμής στερεοποίησης</t>
  </si>
  <si>
    <t>Ζ2.24</t>
  </si>
  <si>
    <t>Δοκιμή ανεμπόδιστης θλίψης</t>
  </si>
  <si>
    <t>ΓΤΕ.2.14</t>
  </si>
  <si>
    <t>Ζ2.25</t>
  </si>
  <si>
    <t>Δοκιμή ταχείας διάτμησης χωρίς στερεοποίηση</t>
  </si>
  <si>
    <t>ΓΤΕ.2.18</t>
  </si>
  <si>
    <t>Ζ2.26</t>
  </si>
  <si>
    <t>Δοκιμή ταχείας διάτμησης με στερεοποίηση</t>
  </si>
  <si>
    <t>ΓΤΕ.2.19</t>
  </si>
  <si>
    <t>Ζ2.27</t>
  </si>
  <si>
    <t>Προετοιμασία κυλινδρικών δοκιμίων βραχωδών δειγμάτων</t>
  </si>
  <si>
    <t>ΓΤΕ.2.27</t>
  </si>
  <si>
    <t>Γβ=3 Δείγματα βράχου                                                                                     Πρ=55,00€ προετοιμασια κυλινδρικών δοκιμών βραωδων δειγμάτων                                                                                                        Α=Γβ*Πρ*τκ</t>
  </si>
  <si>
    <t>Ζ2.28</t>
  </si>
  <si>
    <t>Προσδιορισμός της αντοχής σε ανεμπόδιστη θλίψη</t>
  </si>
  <si>
    <t>ΓΤΕ.2.30</t>
  </si>
  <si>
    <t>Γβθ=3Πλήθος δείγματα βράχου                     ΑΘ=41,00€  Αντοχή σε ανεμπόδιστη θλίψη                      Α=Γβθ*ΑΘ*τκ</t>
  </si>
  <si>
    <t xml:space="preserve">ΑΘΡΟΙΣΜΑ ΓΕΩΤΕΧΝΙΚΩΝ ΕΡΓΑΣΙΩΝ </t>
  </si>
  <si>
    <t xml:space="preserve">Άθροισμα  ΓΕΩΤΕΧΝΙΚΕΣ ΜΕΛΕΤΕΣ </t>
  </si>
  <si>
    <t>L= 4,50 Μήκους έργου</t>
  </si>
  <si>
    <t>Γ εωλογική χαρτογράφηση σε κλίμακα 1/1.000 (πλάτος
χαρτογράφησης 0,30χλμ σε μήκος 4,50χλμ)</t>
  </si>
  <si>
    <t xml:space="preserve">Σ= 4,50 Συνολικό μήκος μηκοτομών οδοποιίας </t>
  </si>
  <si>
    <t xml:space="preserve">Γεωτεχνική μελέτη θεμελίωσης Γέφυρας   περί την Χ.Θ. 19+350 </t>
  </si>
  <si>
    <t>Έδαφος θεμελίωσης: Κατηγορίας Γ, Δ</t>
  </si>
  <si>
    <t>Εμβαδόν καταστρώματος τεχνικού: 15x11</t>
  </si>
  <si>
    <t>Έδαφος θεμελίωσης: Κατηγορίας Β</t>
  </si>
  <si>
    <t>Ζ2.9</t>
  </si>
  <si>
    <t>Π= 2, Πλήθος δειγμάτων 
ΚΑΑ= 57,00 €, Κόστος δοκιμής
Α=Π*ΚΑΑ*τκ</t>
  </si>
  <si>
    <t>Ζ2.29</t>
  </si>
  <si>
    <t>3ΓΥΣ</t>
  </si>
  <si>
    <t>Β5 Επικαιροπιηση Οριστικής Μελέτης  Κόμβου</t>
  </si>
  <si>
    <t>Οριστική Μελέτη (Ο.Μ.)  (κόμβος Αρχαιολογικού χώρου  Κ κόμβοςς ΚΤΕΟ Σάμου)</t>
  </si>
  <si>
    <t>Επικαιροποιηση- Οριστικής Μελέτης  (Ο.Μ.) Ισόπεδου Κόμβου Μύλων-Αγίου Γεωργίου</t>
  </si>
  <si>
    <t>L2=3,90 Μήκος βελτιούμενου τμήματος αφαιρούμενου του μήκους 3 Ι/Κ   4,5-0,2-0,2-0,2 = 3,9</t>
  </si>
  <si>
    <t>Lσ=0,5 Συνολικό μήκος κλάδων &amp; διασταυρούμενων οδών</t>
  </si>
  <si>
    <t>L=3,9 Μήκος οδικού έργου αφαιρούμενου του μήκους 3 Ι/Κ (4,5-{3*0,2))=3,9</t>
  </si>
  <si>
    <t>L =4,5 Μήκος έργου</t>
  </si>
  <si>
    <r>
      <t>Κ4 =1,35 συντελεστής δυσχέρειας του ΦτΕ:</t>
    </r>
    <r>
      <rPr>
        <sz val="9"/>
        <rFont val="Arial Narrow"/>
        <family val="2"/>
        <charset val="161"/>
      </rPr>
      <t xml:space="preserve">                                                   1&lt; 0,5 x (ΝΔ /L</t>
    </r>
    <r>
      <rPr>
        <vertAlign val="subscript"/>
        <sz val="9"/>
        <rFont val="Arial Narrow"/>
        <family val="2"/>
        <charset val="161"/>
      </rPr>
      <t>ΦτΕ</t>
    </r>
    <r>
      <rPr>
        <sz val="9"/>
        <rFont val="Arial Narrow"/>
        <family val="2"/>
        <charset val="161"/>
      </rPr>
      <t>) + 1,5 x (L</t>
    </r>
    <r>
      <rPr>
        <vertAlign val="subscript"/>
        <sz val="9"/>
        <rFont val="Arial Narrow"/>
        <family val="2"/>
        <charset val="161"/>
      </rPr>
      <t>ΦτΕ</t>
    </r>
    <r>
      <rPr>
        <sz val="9"/>
        <rFont val="Arial Narrow"/>
        <family val="2"/>
        <charset val="161"/>
      </rPr>
      <t xml:space="preserve"> / ΝΑ)&lt;1,5  όπου: </t>
    </r>
  </si>
  <si>
    <t>ΝΑ=5 το πλήθος των υφιστάμενων επαρκών φυσικών ή τεχνητών αποδεκτών σε αυτό</t>
  </si>
  <si>
    <r>
      <t>L</t>
    </r>
    <r>
      <rPr>
        <vertAlign val="subscript"/>
        <sz val="9"/>
        <rFont val="Arial Narrow"/>
        <family val="2"/>
        <charset val="161"/>
      </rPr>
      <t>ΦτΕ</t>
    </r>
    <r>
      <rPr>
        <sz val="9"/>
        <rFont val="Arial Narrow"/>
        <family val="2"/>
      </rPr>
      <t>=4,5 μήκος συνολικού έργου του ΦτΕ</t>
    </r>
  </si>
  <si>
    <t>φ= 4,5  Μήκους κυρίου έργου σε km</t>
  </si>
  <si>
    <t>α= 20 Σε θέσεις σημαντικών έργων &amp; γεωτεχνικών μελετών</t>
  </si>
  <si>
    <t>μ= 1000,00 Συνολικό μήκος τομών &amp; διατομών: α*π</t>
  </si>
  <si>
    <t>Γ = 2, Πλήθος γεωτρήσεων: 2
t = 0,954 ώρες, Χρόνος μετακίνησης γεωτρητικού για κάθε γεώτρηση 
c= 85,00 €, Δαπάνη ώρας
Α=(Γ-1)*t*c*τκ</t>
  </si>
  <si>
    <t>l1= 15,00μμ, Μέτρα μήκους γεωτρήσεων
c1= 180,00 €, Τιμή σε βάθη 0-20μ
Α=l1*c1*τκ</t>
  </si>
  <si>
    <t>l2= 3,00μμ, Μέτρα μήκους γεωτρήσεων
c2= 306,00 €, Τιμή σε βάθη 0-20μ
Α=l2*c2*τκ</t>
  </si>
  <si>
    <t>Α=252 x τκ x l € , l=2,00 Μέτρα μήκους γεωτρήσεων</t>
  </si>
  <si>
    <t xml:space="preserve">Δ= 3, Δείγμα εδαφικού υλικού/ μ.μ. γεώτρησης: 1
Γδ= 16 Διαταραγμένα δείγματα εδαφικού υλικού: 14%Γ
Cδ= 92,00 €, Τιμή δειγματοληψίας εν ξηρώ εδαφικού υλικού σε βάθη: 0-20μ
Α=Γδ*Cδ*τκ </t>
  </si>
  <si>
    <t>Φ1α= 10μμ, Μέτρα μήκους πιεζόμετρων
Ca= 33,00 €, Κόστος πιεζόμετρου
Α=Φ1α*Cα*τκ</t>
  </si>
  <si>
    <t>Π= 8, Πλήθος δειγμάτων εδάφους
c= 13,00 €, Κόστος προπαρασκευής
Α=Π*c*τκ</t>
  </si>
  <si>
    <t>Π= 8, Πλήθος δειγμάτων 
ΦΥ= 10,00 €, Κόστος δοκιμής
Α=Π*ΦΥ*τκ</t>
  </si>
  <si>
    <t>Π= 4, Πλήθος δειγμάτων 
ΕΒ= 32,00 €, Κόστος δοκιμής
Α=Π*ΕΒ*τκ</t>
  </si>
  <si>
    <t>Π= 8 Πλήθος δειγμάτων 
ΟΑ= 39,00 €, Κόστος δοκιμής
Α=Π*ΟΑ*τκ</t>
  </si>
  <si>
    <t>Π= 8,  Πλήθος δειγμάτων 
ΚΑ= 39,00 €, Κόστος δοκιμής
Α=Π*ΚΑ*τκ</t>
  </si>
  <si>
    <t>Φ2δ= 10, Πλήθος δειγμάτων 
CB= 142,00 €, Κόστος δοκιμής
Α=Φ2δ*CB*τκ</t>
  </si>
  <si>
    <t>Γα= 6, Πλήθος δειγμάτων 
ΜΣ= 115,00 €, Κόστος δοκιμής
Α=Γα*ΜΣ*τκ</t>
  </si>
  <si>
    <t>Γα= 3, Πλήθος δειγμάτων 
UC= 36,00 €, Κόστος δοκιμής
Α=Γα*UC*τκ</t>
  </si>
  <si>
    <t>Γα= 7, Πλήθος δειγμάτων 
UU= 43,00 €, Κόστος δοκιμής
Α=Γα*UU*τκ</t>
  </si>
  <si>
    <t>Γα= 3, Πλήθος δειγμάτων 
CU= 59,00 €, Κόστος δοκιμής
Α=Γα*CU*τκ</t>
  </si>
  <si>
    <t xml:space="preserve">Γεωτεχνική μελέτη τυπικής θεμελίωσης οχετού </t>
  </si>
  <si>
    <t>Ζ2.7</t>
  </si>
  <si>
    <t>ΓΜΕ.1.3</t>
  </si>
  <si>
    <t>ΓΤΕ.1.6</t>
  </si>
  <si>
    <t>ΓΤΕ.1.7</t>
  </si>
  <si>
    <t>ΓΤΕ.2.26</t>
  </si>
  <si>
    <t xml:space="preserve">H. ΗΛΕΚΤΡΟΜΗΧΑΝΟΛΟΓΙΚΕΣ ΜΕΛΕΤΕΣ </t>
  </si>
  <si>
    <t>Φωτισμός-Δίκτυα Διανομής</t>
  </si>
  <si>
    <r>
      <t>A= Τ</t>
    </r>
    <r>
      <rPr>
        <vertAlign val="subscript"/>
        <sz val="10"/>
        <rFont val="Arial Narrow"/>
        <family val="2"/>
        <charset val="161"/>
      </rPr>
      <t>1</t>
    </r>
    <r>
      <rPr>
        <sz val="10"/>
        <rFont val="Arial Narrow"/>
        <family val="2"/>
        <charset val="161"/>
      </rPr>
      <t xml:space="preserve"> x Μ</t>
    </r>
    <r>
      <rPr>
        <vertAlign val="subscript"/>
        <sz val="10"/>
        <rFont val="Arial Narrow"/>
        <family val="2"/>
        <charset val="161"/>
      </rPr>
      <t>1</t>
    </r>
    <r>
      <rPr>
        <sz val="10"/>
        <rFont val="Arial Narrow"/>
        <family val="2"/>
        <charset val="161"/>
      </rPr>
      <t xml:space="preserve"> x (τκ) = </t>
    </r>
  </si>
  <si>
    <t>Κατάταξη οδικού έργου:</t>
  </si>
  <si>
    <t>Κατηγορία εγκάρσιας οδού (κατά ΟΜΟΕ-ΛΚΟΔ): AIV</t>
  </si>
  <si>
    <t>ΟΔΟ.9</t>
  </si>
  <si>
    <t xml:space="preserve">Η.1. ΜΕΛΕΤΗ ΦΩΤΙΣΜΟΥ  ΚΟΜΒΩΝ </t>
  </si>
  <si>
    <t>Η1.1</t>
  </si>
  <si>
    <t xml:space="preserve"> χλμ,</t>
  </si>
  <si>
    <t xml:space="preserve"> ΑΘΡΟΙΣΜΑ ΗΛΕΚΤΡΟΜΗΧΑΝΟΛΟΓΙΚΕΣ ΜΕΛΕΤΕΣ </t>
  </si>
  <si>
    <t>ΤΥΠΟΣ 1  (4000ευρώ/ χλμ,)</t>
  </si>
  <si>
    <t>Κατηγορία μελετώμενης οδού (αρτηρίας) AlV</t>
  </si>
  <si>
    <t>(κατά ΟΜΟΕ-ΛΚΟΔ)</t>
  </si>
  <si>
    <t>Αριθμός κόμβων :</t>
  </si>
  <si>
    <t>2 τεμ.</t>
  </si>
  <si>
    <t>Μήκος κόμβων (ΟΔΟ.2):</t>
  </si>
  <si>
    <t>2 x 0,5=1,0Km</t>
  </si>
  <si>
    <t xml:space="preserve">«Μελέτη Βελτίωσης δρόμου Αεροδρόμιο- Ηραίον (κόμβος Αεροδρομίου ως Κόμβο Αρχαιολογικού Χώρου)» </t>
  </si>
  <si>
    <t>ANA1.5 ME 2 XLM ENA NEO ( 4 ΤΡΙΓΩΝ ΥΔΡΥΣΗ ΝΕΟΥ)</t>
  </si>
  <si>
    <t>Ε=680,00 Επιφάνεια αποτύπωσης με κλίση εδάφους 0% - 10%</t>
  </si>
  <si>
    <t>Ε=10,00 Επιφάνεια αποτύπωσης με κάλυψη από φύτευση</t>
  </si>
  <si>
    <t xml:space="preserve">Ε=680,00 Επιφάνεια αποτύπωσης </t>
  </si>
  <si>
    <t>ττ= 0,150 Πλάτος χαρτογράφησης</t>
  </si>
  <si>
    <t>Ρ= 0,15 Εύρος γεωλογικής χαρτογράφησης</t>
  </si>
  <si>
    <t xml:space="preserve">Δ= 12, Δείγμα εδαφικού υλικού/ μ.μ. γεώτρησης: 1
Γδ= 348,00 Διαταραγμένα δείγματα εδαφικού υλικού: (75-76)%Γ
Cδ= 54,00 €, Τιμή δειγματοληψίας εν ξηρώ εδαφικού υλικού σε βάθη: 0-20μ
Α=Γδ*Cδ*τκ </t>
  </si>
  <si>
    <r>
      <t>Φ1= 9, Πλήθος Ερευνητικών Φρεάτων 
V = 15,43μ</t>
    </r>
    <r>
      <rPr>
        <sz val="9"/>
        <rFont val="Calibri"/>
        <family val="2"/>
        <charset val="161"/>
      </rPr>
      <t>³</t>
    </r>
    <r>
      <rPr>
        <sz val="9"/>
        <rFont val="Arial Narrow"/>
        <family val="2"/>
      </rPr>
      <t>, Όγκος Ερευνητικού Φρέατος 
c= 30,00 €, Δαπάνη κυβικού μέτρου 
Α=Φ1*V*c*τκ</t>
    </r>
  </si>
  <si>
    <t>Φ1δ= 10, Διαταραγμένα δείγματα:2,5-3,0 * Φ1 
Cδ= 17,00 €, Κόστος διαταραγμένου δείγματος
Α=Φ1δ*Cδ*τκ</t>
  </si>
  <si>
    <t>Φ1α= 12, αριθμός δοκιμών, ανά 3,0μ διάτρησης Ca= 44,00 €, Κόστος SPT
Α=Φ1α*Cα*τκ</t>
  </si>
  <si>
    <t>Φ2δ= 10, Πλήθος δειγμάτων 
PR= 60,00 €, Κόστος δοκιμής
Α=Φ2δ*PR*τκ</t>
  </si>
  <si>
    <t>Α=5 x τκ x 31 €</t>
  </si>
  <si>
    <t>Γ= 23.655,54 Κόστος γεωτεχνικών ερευνών (υπαίθρου &amp; εργαστηρίου)</t>
  </si>
  <si>
    <t>π=1,00 Οδός κατηγορίας:ΑΙv</t>
  </si>
  <si>
    <t>Περιστροφικές γεωτρήσεις</t>
  </si>
  <si>
    <t>Δειγματοληψία εν ξηρώ</t>
  </si>
  <si>
    <t>Εγκατάσταση και παρακολούθηση οργάνων</t>
  </si>
  <si>
    <t>Επι τόπου δοκιμές</t>
  </si>
  <si>
    <t>Διάνοιξη φρέατος</t>
  </si>
  <si>
    <t>C = 6.600,00 Συντελεστής είδους έργου (Επαρχιακό οδικό δίκτυο)</t>
  </si>
  <si>
    <r>
      <t xml:space="preserve">Κ2 =1,0625 συντελεστής μήκους </t>
    </r>
    <r>
      <rPr>
        <sz val="9"/>
        <rFont val="Calibri"/>
        <family val="2"/>
        <charset val="161"/>
      </rPr>
      <t>(1χλμ&lt;</t>
    </r>
    <r>
      <rPr>
        <sz val="9"/>
        <rFont val="Arial Narrow"/>
        <family val="2"/>
      </rPr>
      <t>L&lt;5,00χλμ</t>
    </r>
    <r>
      <rPr>
        <sz val="9"/>
        <rFont val="Calibri"/>
        <family val="2"/>
        <charset val="161"/>
      </rPr>
      <t>)</t>
    </r>
  </si>
  <si>
    <t>γ= 20,00 Συνολικό μήκος γεωτρήσεων</t>
  </si>
  <si>
    <t>Α= 19.591,18 Συνολικό κόστος εργασιών Ο.Γ.Μ</t>
  </si>
  <si>
    <t>ττ1= 9 Πλήθος σημείων (μέχρι 200)</t>
  </si>
  <si>
    <t>Δοκιμές καταταξης</t>
  </si>
  <si>
    <t>Δοκιμες εδαφομηχανικής</t>
  </si>
  <si>
    <t>Δοκιμες βραχωδων δειγμάτων</t>
  </si>
  <si>
    <t>Κ= 0,70 Τύπος μελέτης ΙΙ(υποκατηγορία Α2)</t>
  </si>
  <si>
    <t>Β3 Μελέτη Καθετου  Δικτυου</t>
  </si>
  <si>
    <t>Β3</t>
  </si>
  <si>
    <t xml:space="preserve">Οριστική Μελέτη  καθετου δικτύου σε έδαφος πεδινό </t>
  </si>
  <si>
    <t>c= 8000 Τύπος τμήματος : Υπεραστική οδός</t>
  </si>
  <si>
    <t>π=1,00 Οδός κατηγορίας ΑV</t>
  </si>
  <si>
    <r>
      <t xml:space="preserve">ρ = 1,500 συντελεστής μήκους </t>
    </r>
    <r>
      <rPr>
        <sz val="9"/>
        <rFont val="Calibri"/>
        <family val="2"/>
        <charset val="161"/>
      </rPr>
      <t>(</t>
    </r>
    <r>
      <rPr>
        <sz val="9"/>
        <rFont val="Arial Narrow"/>
        <family val="2"/>
      </rPr>
      <t>L  0-1 χλμ</t>
    </r>
    <r>
      <rPr>
        <sz val="9"/>
        <rFont val="Calibri"/>
        <family val="2"/>
        <charset val="161"/>
      </rPr>
      <t>)</t>
    </r>
  </si>
  <si>
    <t>σ =1,00  συντελεστής γεωμορφολογίας (κλίσεις εδάφους 0%-10%)</t>
  </si>
  <si>
    <t xml:space="preserve">L2=0,00    Μήκος βελτιούμενου τμήματος  </t>
  </si>
  <si>
    <t>Π%=62,50%  Ποσοστό αμοιβής  απευθείας  Ο.Μ.  [Π%=40% + (35% 2) +(10% 2)=62,50%]</t>
  </si>
  <si>
    <t>Σ1=1,00 Εναλλακτική λύση :ΟΧΙ</t>
  </si>
  <si>
    <t>A=ΣΑi*β</t>
  </si>
  <si>
    <t>Σύνολο προεκτιμώμενων αμοιβών μελετών ΦτΕ (με τκ)</t>
  </si>
  <si>
    <t xml:space="preserve">Α=7 </t>
  </si>
  <si>
    <t>α=4</t>
  </si>
  <si>
    <t xml:space="preserve">α=3 </t>
  </si>
  <si>
    <t>Πλήθος Τριγωνομετρικών σημείων για εξάρτηση</t>
  </si>
  <si>
    <r>
      <t xml:space="preserve">c= 65,00 </t>
    </r>
    <r>
      <rPr>
        <sz val="9"/>
        <rFont val="Calibri"/>
        <family val="2"/>
        <charset val="161"/>
      </rPr>
      <t xml:space="preserve">€ </t>
    </r>
  </si>
  <si>
    <t>Τιμή σημείου</t>
  </si>
  <si>
    <t>α=45</t>
  </si>
  <si>
    <t xml:space="preserve"> Πλήθος Πολυγωνικών σημείων εκτός κατοικημένων περιοχών</t>
  </si>
  <si>
    <t xml:space="preserve"> Τιμή σημείου</t>
  </si>
  <si>
    <r>
      <t xml:space="preserve">c= 50,00 </t>
    </r>
    <r>
      <rPr>
        <sz val="9"/>
        <rFont val="Calibri"/>
        <family val="2"/>
        <charset val="161"/>
      </rPr>
      <t xml:space="preserve">€ </t>
    </r>
  </si>
  <si>
    <t xml:space="preserve">L=4,5 </t>
  </si>
  <si>
    <t>Μήκος με κλίση εδάφους 0% - 10%</t>
  </si>
  <si>
    <r>
      <t xml:space="preserve">c= 65,00 </t>
    </r>
    <r>
      <rPr>
        <sz val="9"/>
        <rFont val="Calibri"/>
        <family val="2"/>
        <charset val="161"/>
      </rPr>
      <t>€</t>
    </r>
  </si>
  <si>
    <t xml:space="preserve"> Τιμή ανά χλμ</t>
  </si>
  <si>
    <r>
      <t xml:space="preserve">c= 100,00 </t>
    </r>
    <r>
      <rPr>
        <sz val="9"/>
        <rFont val="Calibri"/>
        <family val="2"/>
        <charset val="161"/>
      </rPr>
      <t>€</t>
    </r>
  </si>
  <si>
    <t xml:space="preserve">α=5 </t>
  </si>
  <si>
    <t>Πλήθος αφετηριών επί ήλου</t>
  </si>
  <si>
    <r>
      <t xml:space="preserve">c= 26,00 </t>
    </r>
    <r>
      <rPr>
        <sz val="9"/>
        <rFont val="Calibri"/>
        <family val="2"/>
        <charset val="161"/>
      </rPr>
      <t>€</t>
    </r>
  </si>
  <si>
    <t>Τιμή ήλου</t>
  </si>
  <si>
    <t xml:space="preserve">ρ = 1,06 Συντελεστής μήκους </t>
  </si>
  <si>
    <t>ρ = 1,06 Συντελεστής μήκους ίδιος με την οδό</t>
  </si>
  <si>
    <t xml:space="preserve">ΕΛΛΗΝΙΚΗ ΔΗΜOΚΡΑΤΙΑ                                                     </t>
  </si>
  <si>
    <t xml:space="preserve">Δ/ΝΣΗ ΤΕΧΝΙΚΩΝ ΈΡΓΩΝ </t>
  </si>
  <si>
    <t>ΠΕΡΙΦΕΡΕΙΑΚΗΣ ΕΝΟΤΗΤΑΣ ΣΑΜΟΥ</t>
  </si>
  <si>
    <t xml:space="preserve">ΧΡΗΜΑΤΟΔΟΤΗΣΗ: Π.Δ.Ε.  ΣΑ                                                                                                       </t>
  </si>
  <si>
    <t xml:space="preserve">Κ.Α. </t>
  </si>
  <si>
    <t xml:space="preserve"> Προεκτίμηση Αμοιβή</t>
  </si>
  <si>
    <t xml:space="preserve">Συντάχθηκε βάσει των αποφάσεων Υπουργού ΥΠΟ.ΜΕ. με απ. ΔΝΣγ/32129/ΦΝ466/16-5-2017 (ΦΕΚ 2519Β΄/20-07-2017)  και τροποποιήθηκε με την αρ.  ΔΝΣγ/οικ.56023/ΦΝ466/2-8-2017 (ΦΕΚ2724Β΄/03-08-2017)] </t>
  </si>
  <si>
    <t>ΣΥΝΟΠΤΙΚΟΣ ΠΙΝΑΚΑΣ ΑΠΑΙΤΟΥΜΕΝΩΝ ΔΑΠΑΝΑΩΝ (προ ΦΠΑ 24%)</t>
  </si>
  <si>
    <t>Β. ΣΥΓΚΟΙΝΩΝΙΑΚΕΣ ΕΛΕΤΕΣ</t>
  </si>
  <si>
    <t>Γ. ΥΔΡΑΥΛΙΚΕΣ ΜΕΛΕΤΕΣ</t>
  </si>
  <si>
    <t>Η. ΗΛΕΚΤΡΟΜΗΧΑΝΟΛΟΓΙΚΕΣ ΜΕΛΕΤΕΣ</t>
  </si>
  <si>
    <t>Θ. ΣΑΥ-ΦΑΥ</t>
  </si>
  <si>
    <r>
      <t>ΣΥΝΟΛΟ</t>
    </r>
    <r>
      <rPr>
        <sz val="8"/>
        <rFont val="Arial"/>
        <family val="2"/>
        <charset val="161"/>
      </rPr>
      <t xml:space="preserve"> (χωρίς ΦΠΑ)</t>
    </r>
  </si>
  <si>
    <t>ΣΥΝΟΛΟ (με απρόβλεπτα)</t>
  </si>
  <si>
    <t>ΦΠΑ (24%)</t>
  </si>
  <si>
    <r>
      <t>ΣΥΝΟΛΟ (</t>
    </r>
    <r>
      <rPr>
        <sz val="10"/>
        <rFont val="Arial"/>
        <family val="2"/>
        <charset val="161"/>
      </rPr>
      <t>ΜΕ ΦΠΑ</t>
    </r>
    <r>
      <rPr>
        <b/>
        <sz val="10"/>
        <rFont val="Arial"/>
        <family val="2"/>
        <charset val="161"/>
      </rPr>
      <t>)</t>
    </r>
  </si>
  <si>
    <t xml:space="preserve"> ΠΙΝΑΚΑΣ ΠΡΟΕΚΤΙΜΩΜΕΝΩΝ ΑΜΟΙΒΩΝ ΓΙΑ ΚΑΘΟΡΙΣΜΟ ΤΩΝ ΕΛΑΧΙΣΤΩΝ ΕΠΙΠΕΔΩΝ</t>
  </si>
  <si>
    <t>ΤΕΧΝΙΚΗΣ ΚΑΤΑΛΛΗΛΟΤΗΤΑΣ ΚΑΙ ΓΕΝΙΚΗΣ ΕΜΠΕΙΡΙΑΣ</t>
  </si>
  <si>
    <t>αρθρο 77 παρ2β του Ν.4412/16</t>
  </si>
  <si>
    <t>Κατηγορία</t>
  </si>
  <si>
    <t>Β ΤΑΞΗΣ ΚΑΙ ΑΝΩ</t>
  </si>
  <si>
    <t>Α ΤΑΞΗΣ ΚΑΙ ΑΝΩ</t>
  </si>
  <si>
    <t>ΣΥΝΤΑΧΘΗΚΕ</t>
  </si>
  <si>
    <t>Σάμος           2020</t>
  </si>
  <si>
    <r>
      <t>τ</t>
    </r>
    <r>
      <rPr>
        <b/>
        <vertAlign val="subscript"/>
        <sz val="10"/>
        <rFont val="Arial Narrow"/>
        <family val="2"/>
        <charset val="161"/>
      </rPr>
      <t xml:space="preserve">κ(2020) </t>
    </r>
    <r>
      <rPr>
        <b/>
        <sz val="10"/>
        <rFont val="Arial Narrow"/>
        <family val="2"/>
      </rPr>
      <t>=</t>
    </r>
  </si>
  <si>
    <t>…………… 2020</t>
  </si>
  <si>
    <r>
      <rPr>
        <b/>
        <sz val="10"/>
        <rFont val="Arial"/>
        <family val="2"/>
        <charset val="161"/>
      </rPr>
      <t>ΕΡΓΟ</t>
    </r>
    <r>
      <rPr>
        <sz val="10"/>
        <rFont val="Arial"/>
        <charset val="161"/>
      </rPr>
      <t xml:space="preserve">:«Μελέτη Βελτίωσης δρόμου Αεροδρόμιο- Ηραίον (κόμβος Αεροδρομίου ως Κόμβο Αρχαιολογικού Χώρου)» </t>
    </r>
  </si>
  <si>
    <t>ΣΥΝΟΛΟ ΓΙΑ ΚΑΘΟΡΙΣΜΟ ΤΕΧΝΙΚΗΣ ΚΑΤΑΛΛΗΛΟΤΗΤΑΣ</t>
  </si>
  <si>
    <t>ΣΥΝΟΛΙΚΗ ΑΠΑΙΤΟΥΜΕΝΗ ΔΑΠΑΝΗ ΤΟΠΟΓΡΑΦΙΚΩΝ ΜΕΛΕΤΩΝ</t>
  </si>
  <si>
    <t>ΣΥΝΟΛΙΚΗ ΑΠΑΙΤΟΥΜΕΝΗ ΔΑΠΑΝΗ ΣΥΓΚΟΙΝΩΝΙΑΚΩΝ ΜΕΛΕΤΩΝ</t>
  </si>
  <si>
    <t>Μερικό Αθροισμα Απαιτούμενης Δαπάνης Μελέτης κύριας οδού</t>
  </si>
  <si>
    <t>ΜΕΡΙΚΟ ΑΘΡΟΙΣΜΑ ΓΙΑ ΚΑΘΟΡΙΣΜΟ ΤΕΧΝΙΚΗΣ ΚΑΤΑΛΛΗΛΟΤΗΤΑΣ ΜΕΛΕΤΗΣ ΚΥΡΙΑΣ ΟΔΟΥ</t>
  </si>
  <si>
    <t>Μερικό Αθροισμα Απαιτούμενης Δαπάνης Μελέτης κάθετου δικτύου</t>
  </si>
  <si>
    <t>ΜΕΡΙΚΟ ΑΘΡΟΙΣΜΑ ΓΙΑ ΚΑΘΟΡΙΣΜΟ ΤΕΧΝΙΚΗΣ ΚΑΤΑΛΛΗΛΟΤΗΤΑΣ ΜΕΛΕΤΗΣ  ΚΑΘΕΤΟΥ ΔΙΚΤΥΟΥ</t>
  </si>
  <si>
    <t>Lδ=0,50  Μήκος διαρρυθμίσεων, προσθηκών, προσαυξήσεων</t>
  </si>
  <si>
    <t>Μερικό Αθροισμα Απαιτούμενης Δαπάνης Μελέτης κόμβων</t>
  </si>
  <si>
    <t>ΜΕΡΙΚΟ ΑΘΡΟΙΣΜΑ ΓΙΑ ΚΑΘΟΡΙΣΜΟ ΤΕΧΝΙΚΗΣ ΚΑΤΑΛΛΗΛΟΤΗΤΑΣ ΜΕΛΕΤΗΣ  ΚΟΜΒΩΝ</t>
  </si>
  <si>
    <t>Π%=20,00% Ποσοστό αμοιβής Ο.Μ. χ ποσοστό ετπκαιροποίησης (ποσοστό άρθρου ΓΕΝ 8Β=50%, Π=40%*50%=20%)</t>
  </si>
  <si>
    <t>L=1,00 Μήκος κόμβων    0,5*2</t>
  </si>
  <si>
    <t>ΜΕΡΙΚΟ ΑΘΡΟΙΣΜΑ ΓΙΑ ΚΑΘΟΡΙΣΜΟ ΤΕΧΝΙΚΗΣ ΚΑΤΑΛΛΗΛΟΤΗΤΑΣ ΜΕΛΕΤΗΣ  ΣΗΜΑΝΣΗΣ - ΑΣΦΑΛΙΣΗΣ</t>
  </si>
  <si>
    <t>Μερικό Αθροισμα Απαιτούμενης Δαπάνης Μελέτης ΣΗΜΑΝΣΗΣ-ΑΣΦΑΛΙΣΗΣ</t>
  </si>
  <si>
    <t>ΠΡΟΕΚΤΙΜΩΜΕΝΕΣ ΑΜΟΙΒΕΣ ΤΟΠΟΓΡΑΦΙΚΩΝ ΜΕΛΕΤΩΝ</t>
  </si>
  <si>
    <t>ΠΡΟΕΚΤΙΜΩΜΕΝΕΣ ΑΜΟΙΒΕΣ ΣΥΓΚΟΙΝΩΝΙΑΚΩΝ ΜΕΛΕΤΩΝ</t>
  </si>
  <si>
    <t>ΠΡΟΕΚΤΙΜΩΜΕΝΕΣ ΑΜΟΙΒΕΣ ΥΔΡΑΥΛΙΚΩΝ ΜΕΛΕΤΩΝ</t>
  </si>
  <si>
    <t>A4</t>
  </si>
  <si>
    <t xml:space="preserve">Γ. ΥΔΡΑΥΛΙΚΕΣ ΜΕΛΕΤΕΣ </t>
  </si>
  <si>
    <t>Γ1</t>
  </si>
  <si>
    <t>Γ2</t>
  </si>
  <si>
    <t>ΣΥΝΟΛΙΚΗ ΑΠΑΙΤΟΥΜΕΝΗ ΔΑΠΑΝΗ ΥΔΡΑΥΛΙΚΩΝ ΜΕΛΕΤΩΝ</t>
  </si>
  <si>
    <t>ΠΡΟΕΚΤΙΜΩΜΕΝΕΣ ΑΜΟΙΒΕΣ ΠΕΡΙΒΑΛΛΟΝΤΙΚΩΝ ΜΕΛΕΤΩΝ</t>
  </si>
  <si>
    <t>ΣΥΝΟΛΙΚΗ ΑΠΑΙΤΟΥΜΕΝΗ ΔΑΠΑΝΗ ΠΕΡΙΒΑΛΛΟΝΤΙΚΩΝ ΜΕΛΕΤΩΝ</t>
  </si>
  <si>
    <t>Α. ΤΟΠΟΓΡΑΦΙΚΕΣ ΜΕΛΕΤΕΣ  (16)</t>
  </si>
  <si>
    <t>Β. ΣΥΓΚΟΙΝΩΝΙΑΚΕΣ ΜΕΛΕΤΕΣ  (10)</t>
  </si>
  <si>
    <t>Γ. ΥΔΡΑΥΛΙΚΕΣ ΜΕΛΕΤΕΣ  (13)</t>
  </si>
  <si>
    <t>ΠΡΟΕΚΤΙΜΩΜΕΝΕΣ ΑΜΟΙΒΕΣ ΓΕΩΛΟΓΙΚΩΝ ΜΕΛΕΤΩΝ</t>
  </si>
  <si>
    <t>ΣΥΝΟΛΙΚΗ ΑΠΑΙΤΟΥΜΕΝΗ ΔΑΠΑΝΗ ΓΕΩΛΟΓΙΚΩΝ ΜΕΛΕΤΩΝ</t>
  </si>
  <si>
    <t>ΠΡΟΕΚΤΙΜΩΜΕΝΕΣ ΑΜΟΙΒΕΣ ΓΕΩΤΕΧΝΙΚΩΝ ΜΕΛΕΤΩΝ</t>
  </si>
  <si>
    <t>L= 20,0 μ, Συνολικό μήκος γεωτρήσεων
π= 12,50μ. Πρόοδος γεώτρησης ανά ημέρα (μ)
c= 390,00 € Δαπάνη ημέρας 
A=(L*π)*c*τκ</t>
  </si>
  <si>
    <t>Ζ. ΓΕΩΤΕΧΝΙΚΕΣ ΜΕΛΕΤΕΣ ΚΑΙ ΕΡΕΥΝΕΣ  (21)</t>
  </si>
  <si>
    <t>Η. ΗΛΕΚΤΡΟΜΗΧΑΝΟΛΟΓΙΚΕΣ ΜΕΛΕΤΕΣ (9)</t>
  </si>
  <si>
    <t>Ζ.  ΓΕΩΤΕΧΝΙΚΕΣ ΜΕΛΕΤΕΣ ΚΑΙ ΕΡΕΥΝΕΣ</t>
  </si>
  <si>
    <t>ΣΥΝΟΛΙΚΗ ΑΠΑΙΤΟΥΜΕΝΗ ΔΑΠΑΝΗ  ΓΕΩΤΕΧΝΙΚΩΝ ΜΕΛΕΤΩΝ - ΕΡΕΥΝΩΝ</t>
  </si>
  <si>
    <t>ΠΡΟΕΚΤΙΜΩΜΕΝΕΣ ΑΜΟΙΒΕΣ ΗΛΕΚΤΡΟΜΗΧΑΝΟΛΟΓΙΚΩΝ ΜΕΛΕΤΩΝ</t>
  </si>
  <si>
    <t>4000 x 1,0 x1,227</t>
  </si>
  <si>
    <t>Π%=70% Ποσοστό αμοιβής Ο.Μ. παραλειπομένου του σταδίου της Πρoμελέτης ((40%+(60/2))</t>
  </si>
  <si>
    <t xml:space="preserve">ΠΡΟΕΚΤΙΜΩΜΕΝΗ ΑΜΟΙΒΗ ΣΥΝΤΑΞΗΣ ΜΕΛΕΤΗΣ ΣΑΥ-ΦΑΥ </t>
  </si>
  <si>
    <r>
      <t xml:space="preserve">Θ. ΣΧΕΔΙΟ ΑΣΦΑΛΕΙΑΣ ΚΑΙ ΥΓΕΙΑΣ </t>
    </r>
    <r>
      <rPr>
        <b/>
        <sz val="9"/>
        <rFont val="Calibri"/>
        <family val="2"/>
        <charset val="161"/>
      </rPr>
      <t>(</t>
    </r>
    <r>
      <rPr>
        <b/>
        <sz val="9"/>
        <rFont val="Arial Narrow"/>
        <family val="2"/>
        <charset val="161"/>
      </rPr>
      <t>ΣΑΥ</t>
    </r>
    <r>
      <rPr>
        <b/>
        <sz val="9"/>
        <rFont val="Calibri"/>
        <family val="2"/>
        <charset val="161"/>
      </rPr>
      <t>)</t>
    </r>
    <r>
      <rPr>
        <b/>
        <sz val="9"/>
        <rFont val="Arial Narrow"/>
        <family val="2"/>
        <charset val="161"/>
      </rPr>
      <t xml:space="preserve">-                                                                 ΦΑΚΕΛΟΣ ΑΣΦΑΛΕΙΑΣ ΚΑΙ ΥΓΕΙΑΣ </t>
    </r>
    <r>
      <rPr>
        <b/>
        <sz val="9"/>
        <rFont val="Calibri"/>
        <family val="2"/>
        <charset val="161"/>
      </rPr>
      <t>(</t>
    </r>
    <r>
      <rPr>
        <b/>
        <sz val="9"/>
        <rFont val="Arial Narrow"/>
        <family val="2"/>
        <charset val="161"/>
      </rPr>
      <t>ΦΑΥ</t>
    </r>
    <r>
      <rPr>
        <b/>
        <sz val="9"/>
        <rFont val="Calibri"/>
        <family val="2"/>
        <charset val="161"/>
      </rPr>
      <t>)</t>
    </r>
  </si>
  <si>
    <t>Θ1</t>
  </si>
  <si>
    <t>Δ, ΣΤΑΤΙΚΕΣ ΜΕΛΕΤΕΣ</t>
  </si>
  <si>
    <t>Ε. ΠΕΡΙΒΑΛΛΟΝΤΙΚΕΣ ΜΕΛΕΤΕΣ  (27)</t>
  </si>
  <si>
    <t>ΣΤ. ΓΕΩΛΟΓΙΚΕΣ ΜΕΛΕΤΕΣ  (20)</t>
  </si>
  <si>
    <t>Ε. ΠΕΡΙΒΑΛΛΟΝΤΙΚΕΣ ΜΕΛΕΤΕΣ</t>
  </si>
  <si>
    <t>ΣΤ. ΓΕΩΛΟΓΙΚΕΣ ΜΕΛΕΤΕΣ</t>
  </si>
  <si>
    <t>ΠΡΟΕΚΤΙΜΗΣΗ ΔΑΠΑΝΗΣ  ΣΤΑΤΙΚΩΝ  ΜΕΛΕΤΩΝ</t>
  </si>
  <si>
    <r>
      <t>τ</t>
    </r>
    <r>
      <rPr>
        <vertAlign val="subscript"/>
        <sz val="10"/>
        <rFont val="Arial Narrow"/>
        <family val="2"/>
        <charset val="161"/>
      </rPr>
      <t>κ2020</t>
    </r>
    <r>
      <rPr>
        <sz val="10"/>
        <rFont val="Arial Narrow"/>
        <family val="2"/>
      </rPr>
      <t>=</t>
    </r>
  </si>
  <si>
    <t>ΜΕΛΕΤΕΣ ΤΕΧΝΙΚΩΝ ΕΡΓΩΝ ΟΔΟΥ</t>
  </si>
  <si>
    <t xml:space="preserve">Οριστική μελέτη 4 οχετών
</t>
  </si>
  <si>
    <t xml:space="preserve">ΤΕΧ.2
ΤΕΧ.3
ΤΕΧ.4
ΤΕΧ.5
ΤΕΧ.6
ΤΕΧ.7
</t>
  </si>
  <si>
    <r>
      <t>μ</t>
    </r>
    <r>
      <rPr>
        <vertAlign val="superscript"/>
        <sz val="9"/>
        <rFont val="Arial Narrow"/>
        <family val="2"/>
        <charset val="161"/>
      </rPr>
      <t>2</t>
    </r>
  </si>
  <si>
    <t xml:space="preserve">Κ= </t>
  </si>
  <si>
    <t>Κατηγορία έργου: Α</t>
  </si>
  <si>
    <t xml:space="preserve">μ= </t>
  </si>
  <si>
    <t xml:space="preserve">L= </t>
  </si>
  <si>
    <t>Μήκος Oχετου=L+(1,5*H+2)</t>
  </si>
  <si>
    <t xml:space="preserve"> Β=</t>
  </si>
  <si>
    <t>Πλάτος Oχετου</t>
  </si>
  <si>
    <t>Φ=</t>
  </si>
  <si>
    <t>Φυσική ποσότητα (επιφάνεια κάτοψης τεχνικου</t>
  </si>
  <si>
    <t xml:space="preserve">σ= </t>
  </si>
  <si>
    <t>Τιμή μονάδας(ΚΔ)</t>
  </si>
  <si>
    <t xml:space="preserve">β= </t>
  </si>
  <si>
    <t>Συντελεστής αμοιβής: κ+[(5,6*μ)/(σ*Φ)Λ1/3]</t>
  </si>
  <si>
    <t>Σ=</t>
  </si>
  <si>
    <t>Δυναμικός αντισεισμικός έλεγχος:ΌΧΙ</t>
  </si>
  <si>
    <t xml:space="preserve"> Προσθήκη ή επέκταση υφιστάμενου τεχνικού: OXI</t>
  </si>
  <si>
    <t xml:space="preserve">Π%= </t>
  </si>
  <si>
    <t xml:space="preserve"> Ποσοστό αμοιβής Ο.Μ.</t>
  </si>
  <si>
    <t>Α=β%*σ*Φ*Σ*Ε*Π%*ΤΚ</t>
  </si>
  <si>
    <t>ΣΥΝΟΛΙΚΗ ΑΠΑΙΤΟΥΜΕΝΗ ΔΑΠΑΝΗ ΣΤΑΤΙΚΩΝ ΜΕΛΕΤΩΝ</t>
  </si>
  <si>
    <t xml:space="preserve">Δ. ΣΤΑΤΙΚΕΣ ΜΕΛΕΤΕΣ </t>
  </si>
  <si>
    <t xml:space="preserve">ΣΤ. OΡΙΣΤΙΚΗ ΓΕΩΛΟΓΙΚΗ ΜΕΛΕΤΗ </t>
  </si>
  <si>
    <t>Δ, ΣΤΑΤΙΚΕΣ ΜΕΛΕΤΕΣ (8)</t>
  </si>
  <si>
    <t xml:space="preserve">(κόμβος Αεροδρομίου ως Κόμβο Αρχαιολογικού Χώρου)» </t>
  </si>
  <si>
    <t xml:space="preserve">«Μελέτη Βελτίωσης δρόμου Αεροδρόμιο- Ηραίον </t>
  </si>
  <si>
    <t>Εγκύκλιος 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</si>
</sst>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00"/>
    <numFmt numFmtId="166" formatCode="#,##0.00\ [$€-1]"/>
    <numFmt numFmtId="167" formatCode="#,##0.00\ [$€-408]"/>
    <numFmt numFmtId="168" formatCode="0.0000000000"/>
    <numFmt numFmtId="169" formatCode="#,##0.000"/>
  </numFmts>
  <fonts count="50" x14ac:knownFonts="1">
    <font>
      <sz val="10"/>
      <name val="Arial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Arial"/>
      <family val="2"/>
      <charset val="161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  <charset val="161"/>
    </font>
    <font>
      <sz val="9"/>
      <name val="Arial Narrow"/>
      <family val="2"/>
      <charset val="161"/>
    </font>
    <font>
      <b/>
      <sz val="11"/>
      <name val="Arial Narrow"/>
      <family val="2"/>
    </font>
    <font>
      <sz val="9"/>
      <name val="Calibri"/>
      <family val="2"/>
      <charset val="161"/>
    </font>
    <font>
      <b/>
      <vertAlign val="subscript"/>
      <sz val="10"/>
      <name val="Arial Narrow"/>
      <family val="2"/>
      <charset val="161"/>
    </font>
    <font>
      <sz val="11"/>
      <color indexed="8"/>
      <name val="Calibri"/>
      <family val="2"/>
      <charset val="161"/>
    </font>
    <font>
      <b/>
      <sz val="9"/>
      <name val="Arial Narrow"/>
      <family val="2"/>
      <charset val="161"/>
    </font>
    <font>
      <sz val="12"/>
      <name val="Arial"/>
      <family val="2"/>
      <charset val="161"/>
    </font>
    <font>
      <b/>
      <sz val="10"/>
      <name val="Arial Narrow"/>
      <family val="2"/>
      <charset val="161"/>
    </font>
    <font>
      <b/>
      <sz val="11"/>
      <name val="Arial Narrow"/>
      <family val="2"/>
      <charset val="161"/>
    </font>
    <font>
      <b/>
      <sz val="10"/>
      <name val="Arial"/>
      <family val="2"/>
      <charset val="161"/>
    </font>
    <font>
      <sz val="8"/>
      <name val="Arial Narrow"/>
      <family val="2"/>
    </font>
    <font>
      <sz val="8"/>
      <name val="Arial"/>
      <family val="2"/>
      <charset val="161"/>
    </font>
    <font>
      <b/>
      <u/>
      <sz val="10"/>
      <name val="Arial Narrow"/>
      <family val="2"/>
      <charset val="161"/>
    </font>
    <font>
      <b/>
      <sz val="8"/>
      <name val="Arial Narrow"/>
      <family val="2"/>
      <charset val="161"/>
    </font>
    <font>
      <b/>
      <u/>
      <sz val="8"/>
      <name val="Arial Narrow"/>
      <family val="2"/>
      <charset val="161"/>
    </font>
    <font>
      <sz val="8"/>
      <name val="Arial Narrow"/>
      <family val="2"/>
      <charset val="161"/>
    </font>
    <font>
      <b/>
      <sz val="8"/>
      <name val="Arial Narrow"/>
      <family val="2"/>
    </font>
    <font>
      <sz val="9"/>
      <name val="Arial"/>
      <family val="2"/>
      <charset val="161"/>
    </font>
    <font>
      <b/>
      <sz val="9"/>
      <name val="Calibri"/>
      <family val="2"/>
      <charset val="161"/>
    </font>
    <font>
      <sz val="8.1"/>
      <name val="Arial Narrow"/>
      <family val="2"/>
    </font>
    <font>
      <vertAlign val="subscript"/>
      <sz val="9"/>
      <name val="Arial Narrow"/>
      <family val="2"/>
      <charset val="161"/>
    </font>
    <font>
      <b/>
      <sz val="11"/>
      <name val="Arial"/>
      <family val="2"/>
      <charset val="161"/>
    </font>
    <font>
      <sz val="10"/>
      <name val="Calibri"/>
      <family val="2"/>
      <charset val="161"/>
    </font>
    <font>
      <sz val="11"/>
      <name val="Arial Narrow"/>
      <family val="2"/>
      <charset val="161"/>
    </font>
    <font>
      <b/>
      <u/>
      <sz val="11"/>
      <name val="Arial Narrow"/>
      <family val="2"/>
      <charset val="161"/>
    </font>
    <font>
      <vertAlign val="subscript"/>
      <sz val="11"/>
      <name val="Arial Narrow"/>
      <family val="2"/>
      <charset val="161"/>
    </font>
    <font>
      <i/>
      <sz val="11"/>
      <name val="Arial Narrow"/>
      <family val="2"/>
      <charset val="161"/>
    </font>
    <font>
      <b/>
      <i/>
      <sz val="11"/>
      <name val="Arial Narrow"/>
      <family val="2"/>
      <charset val="161"/>
    </font>
    <font>
      <b/>
      <sz val="12"/>
      <name val="Arial Narrow"/>
      <family val="2"/>
      <charset val="161"/>
    </font>
    <font>
      <vertAlign val="superscript"/>
      <sz val="9"/>
      <name val="Arial Narrow"/>
      <family val="2"/>
      <charset val="161"/>
    </font>
    <font>
      <sz val="11"/>
      <name val="Arial Narrow"/>
      <family val="2"/>
    </font>
    <font>
      <sz val="11"/>
      <name val="Calibri"/>
      <family val="2"/>
      <charset val="161"/>
    </font>
    <font>
      <sz val="9.9"/>
      <name val="Arial Narrow"/>
      <family val="2"/>
    </font>
    <font>
      <vertAlign val="superscript"/>
      <sz val="9.9"/>
      <name val="Arial Narrow"/>
      <family val="2"/>
      <charset val="161"/>
    </font>
    <font>
      <vertAlign val="superscript"/>
      <sz val="9"/>
      <name val="Arial Narrow"/>
      <family val="2"/>
    </font>
    <font>
      <sz val="12"/>
      <name val="Arial Narrow"/>
      <family val="2"/>
      <charset val="161"/>
    </font>
    <font>
      <sz val="9"/>
      <color rgb="FFFF0000"/>
      <name val="Arial Narrow"/>
      <family val="2"/>
    </font>
    <font>
      <sz val="10"/>
      <color rgb="FFFF0000"/>
      <name val="Arial"/>
      <family val="2"/>
      <charset val="161"/>
    </font>
    <font>
      <vertAlign val="subscript"/>
      <sz val="10"/>
      <name val="Arial Narrow"/>
      <family val="2"/>
      <charset val="161"/>
    </font>
    <font>
      <b/>
      <sz val="12"/>
      <name val="Arial"/>
      <family val="2"/>
      <charset val="161"/>
    </font>
    <font>
      <u/>
      <sz val="10"/>
      <color theme="1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3" fillId="0" borderId="0"/>
    <xf numFmtId="0" fontId="49" fillId="0" borderId="0" applyNumberFormat="0" applyFill="0" applyBorder="0" applyAlignment="0" applyProtection="0"/>
  </cellStyleXfs>
  <cellXfs count="96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/>
    <xf numFmtId="2" fontId="7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vertical="center"/>
    </xf>
    <xf numFmtId="164" fontId="7" fillId="0" borderId="7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3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4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Fill="1"/>
    <xf numFmtId="0" fontId="14" fillId="0" borderId="16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right" vertical="center"/>
    </xf>
    <xf numFmtId="0" fontId="14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vertical="center" wrapText="1"/>
    </xf>
    <xf numFmtId="164" fontId="7" fillId="0" borderId="35" xfId="0" applyNumberFormat="1" applyFont="1" applyFill="1" applyBorder="1" applyAlignment="1">
      <alignment vertical="center"/>
    </xf>
    <xf numFmtId="2" fontId="7" fillId="0" borderId="3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vertical="center"/>
    </xf>
    <xf numFmtId="44" fontId="16" fillId="0" borderId="0" xfId="0" applyNumberFormat="1" applyFont="1" applyFill="1" applyBorder="1" applyAlignment="1">
      <alignment horizontal="left" vertical="center"/>
    </xf>
    <xf numFmtId="4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vertical="center"/>
    </xf>
    <xf numFmtId="0" fontId="14" fillId="0" borderId="29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164" fontId="9" fillId="0" borderId="32" xfId="0" applyNumberFormat="1" applyFont="1" applyFill="1" applyBorder="1" applyAlignment="1">
      <alignment vertical="center"/>
    </xf>
    <xf numFmtId="2" fontId="5" fillId="0" borderId="0" xfId="0" applyNumberFormat="1" applyFont="1" applyFill="1" applyAlignment="1">
      <alignment horizontal="left" vertic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left" vertical="center" wrapText="1"/>
    </xf>
    <xf numFmtId="9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/>
    <xf numFmtId="0" fontId="22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37" xfId="0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vertical="center"/>
    </xf>
    <xf numFmtId="164" fontId="7" fillId="0" borderId="3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4" fillId="0" borderId="34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2" fontId="7" fillId="0" borderId="42" xfId="0" applyNumberFormat="1" applyFont="1" applyFill="1" applyBorder="1" applyAlignment="1">
      <alignment horizontal="center" vertical="center"/>
    </xf>
    <xf numFmtId="164" fontId="7" fillId="0" borderId="42" xfId="0" applyNumberFormat="1" applyFont="1" applyFill="1" applyBorder="1" applyAlignment="1">
      <alignment vertical="center"/>
    </xf>
    <xf numFmtId="164" fontId="7" fillId="3" borderId="42" xfId="0" applyNumberFormat="1" applyFont="1" applyFill="1" applyBorder="1" applyAlignment="1">
      <alignment vertical="center"/>
    </xf>
    <xf numFmtId="164" fontId="7" fillId="0" borderId="47" xfId="0" applyNumberFormat="1" applyFont="1" applyFill="1" applyBorder="1" applyAlignment="1">
      <alignment vertical="center" wrapText="1"/>
    </xf>
    <xf numFmtId="164" fontId="7" fillId="0" borderId="47" xfId="0" applyNumberFormat="1" applyFont="1" applyFill="1" applyBorder="1" applyAlignment="1">
      <alignment vertical="center"/>
    </xf>
    <xf numFmtId="164" fontId="7" fillId="0" borderId="50" xfId="0" applyNumberFormat="1" applyFont="1" applyFill="1" applyBorder="1" applyAlignment="1">
      <alignment vertical="center"/>
    </xf>
    <xf numFmtId="164" fontId="7" fillId="0" borderId="51" xfId="0" applyNumberFormat="1" applyFont="1" applyFill="1" applyBorder="1" applyAlignment="1">
      <alignment vertical="center"/>
    </xf>
    <xf numFmtId="164" fontId="7" fillId="0" borderId="4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 vertical="center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164" fontId="7" fillId="0" borderId="53" xfId="0" applyNumberFormat="1" applyFont="1" applyFill="1" applyBorder="1" applyAlignment="1">
      <alignment vertical="center"/>
    </xf>
    <xf numFmtId="164" fontId="7" fillId="0" borderId="54" xfId="0" applyNumberFormat="1" applyFont="1" applyFill="1" applyBorder="1" applyAlignment="1">
      <alignment vertical="center"/>
    </xf>
    <xf numFmtId="164" fontId="7" fillId="0" borderId="55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164" fontId="7" fillId="0" borderId="3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vertical="center"/>
    </xf>
    <xf numFmtId="164" fontId="7" fillId="0" borderId="50" xfId="0" applyNumberFormat="1" applyFont="1" applyFill="1" applyBorder="1" applyAlignment="1">
      <alignment vertical="center" wrapText="1"/>
    </xf>
    <xf numFmtId="164" fontId="7" fillId="0" borderId="39" xfId="0" applyNumberFormat="1" applyFont="1" applyFill="1" applyBorder="1" applyAlignment="1">
      <alignment vertical="center"/>
    </xf>
    <xf numFmtId="2" fontId="7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vertical="center"/>
    </xf>
    <xf numFmtId="2" fontId="7" fillId="0" borderId="24" xfId="0" applyNumberFormat="1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vertical="center"/>
    </xf>
    <xf numFmtId="2" fontId="7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 wrapText="1"/>
    </xf>
    <xf numFmtId="2" fontId="6" fillId="0" borderId="30" xfId="0" applyNumberFormat="1" applyFont="1" applyFill="1" applyBorder="1" applyAlignment="1">
      <alignment horizontal="center" vertical="center" wrapText="1"/>
    </xf>
    <xf numFmtId="2" fontId="6" fillId="0" borderId="2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/>
    <xf numFmtId="0" fontId="14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 wrapText="1"/>
    </xf>
    <xf numFmtId="164" fontId="7" fillId="0" borderId="31" xfId="0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24" fillId="0" borderId="32" xfId="0" applyFont="1" applyFill="1" applyBorder="1" applyAlignment="1">
      <alignment horizontal="center" vertical="center" wrapText="1"/>
    </xf>
    <xf numFmtId="164" fontId="7" fillId="3" borderId="30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 wrapText="1"/>
    </xf>
    <xf numFmtId="0" fontId="1" fillId="0" borderId="0" xfId="0" applyFont="1" applyAlignment="1"/>
    <xf numFmtId="0" fontId="26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30" fillId="0" borderId="0" xfId="0" applyFont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164" fontId="9" fillId="0" borderId="0" xfId="0" applyNumberFormat="1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0" borderId="31" xfId="0" applyFont="1" applyBorder="1" applyAlignment="1">
      <alignment horizontal="left" vertical="center" wrapText="1"/>
    </xf>
    <xf numFmtId="0" fontId="1" fillId="0" borderId="24" xfId="0" applyFont="1" applyBorder="1"/>
    <xf numFmtId="0" fontId="1" fillId="0" borderId="0" xfId="0" applyFont="1" applyBorder="1"/>
    <xf numFmtId="0" fontId="1" fillId="0" borderId="31" xfId="0" applyFont="1" applyBorder="1"/>
    <xf numFmtId="0" fontId="5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right"/>
    </xf>
    <xf numFmtId="164" fontId="32" fillId="0" borderId="28" xfId="0" applyNumberFormat="1" applyFont="1" applyBorder="1"/>
    <xf numFmtId="0" fontId="35" fillId="0" borderId="0" xfId="0" applyFont="1" applyFill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/>
    <xf numFmtId="2" fontId="32" fillId="0" borderId="0" xfId="0" applyNumberFormat="1" applyFont="1" applyAlignment="1">
      <alignment horizontal="left"/>
    </xf>
    <xf numFmtId="0" fontId="32" fillId="0" borderId="0" xfId="0" applyFont="1" applyFill="1" applyBorder="1" applyAlignment="1">
      <alignment vertical="center"/>
    </xf>
    <xf numFmtId="2" fontId="32" fillId="0" borderId="0" xfId="0" applyNumberFormat="1" applyFont="1" applyFill="1" applyAlignment="1">
      <alignment horizontal="left" vertical="center" wrapText="1"/>
    </xf>
    <xf numFmtId="3" fontId="32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167" fontId="17" fillId="0" borderId="0" xfId="0" applyNumberFormat="1" applyFont="1" applyFill="1" applyBorder="1" applyAlignment="1">
      <alignment horizontal="right" vertical="center"/>
    </xf>
    <xf numFmtId="164" fontId="32" fillId="0" borderId="0" xfId="0" applyNumberFormat="1" applyFont="1"/>
    <xf numFmtId="164" fontId="16" fillId="0" borderId="0" xfId="0" applyNumberFormat="1" applyFont="1" applyBorder="1" applyAlignment="1">
      <alignment vertical="top" wrapText="1"/>
    </xf>
    <xf numFmtId="0" fontId="3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/>
    </xf>
    <xf numFmtId="164" fontId="1" fillId="0" borderId="38" xfId="0" applyNumberFormat="1" applyFont="1" applyFill="1" applyBorder="1" applyAlignment="1">
      <alignment vertical="center"/>
    </xf>
    <xf numFmtId="164" fontId="39" fillId="0" borderId="2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58" xfId="0" applyNumberFormat="1" applyFont="1" applyFill="1" applyBorder="1" applyAlignment="1">
      <alignment vertical="center"/>
    </xf>
    <xf numFmtId="0" fontId="7" fillId="0" borderId="59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vertical="center"/>
    </xf>
    <xf numFmtId="1" fontId="7" fillId="0" borderId="9" xfId="0" applyNumberFormat="1" applyFont="1" applyFill="1" applyBorder="1" applyAlignment="1">
      <alignment horizontal="center" vertical="center"/>
    </xf>
    <xf numFmtId="164" fontId="7" fillId="0" borderId="48" xfId="0" applyNumberFormat="1" applyFont="1" applyFill="1" applyBorder="1" applyAlignment="1">
      <alignment vertical="center"/>
    </xf>
    <xf numFmtId="164" fontId="7" fillId="0" borderId="49" xfId="0" applyNumberFormat="1" applyFont="1" applyFill="1" applyBorder="1" applyAlignment="1">
      <alignment horizontal="left" vertical="center" wrapText="1"/>
    </xf>
    <xf numFmtId="164" fontId="7" fillId="0" borderId="52" xfId="0" applyNumberFormat="1" applyFont="1" applyFill="1" applyBorder="1" applyAlignment="1">
      <alignment vertical="center"/>
    </xf>
    <xf numFmtId="4" fontId="7" fillId="0" borderId="48" xfId="0" applyNumberFormat="1" applyFont="1" applyFill="1" applyBorder="1" applyAlignment="1">
      <alignment horizontal="left" vertical="center"/>
    </xf>
    <xf numFmtId="4" fontId="7" fillId="0" borderId="51" xfId="0" applyNumberFormat="1" applyFont="1" applyFill="1" applyBorder="1" applyAlignment="1">
      <alignment horizontal="left" vertical="center"/>
    </xf>
    <xf numFmtId="164" fontId="7" fillId="0" borderId="52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horizontal="left" vertical="center"/>
    </xf>
    <xf numFmtId="164" fontId="7" fillId="0" borderId="49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vertical="center"/>
    </xf>
    <xf numFmtId="0" fontId="14" fillId="0" borderId="15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14" fillId="0" borderId="32" xfId="0" applyFont="1" applyFill="1" applyBorder="1" applyAlignment="1">
      <alignment vertical="center"/>
    </xf>
    <xf numFmtId="4" fontId="7" fillId="0" borderId="32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44" fillId="0" borderId="0" xfId="0" applyFont="1" applyFill="1" applyAlignment="1">
      <alignment horizontal="center" vertical="center"/>
    </xf>
    <xf numFmtId="14" fontId="7" fillId="0" borderId="32" xfId="0" applyNumberFormat="1" applyFont="1" applyFill="1" applyBorder="1" applyAlignment="1">
      <alignment horizontal="left" vertical="center"/>
    </xf>
    <xf numFmtId="164" fontId="45" fillId="0" borderId="51" xfId="0" applyNumberFormat="1" applyFont="1" applyFill="1" applyBorder="1" applyAlignment="1">
      <alignment vertical="center"/>
    </xf>
    <xf numFmtId="2" fontId="7" fillId="0" borderId="51" xfId="0" applyNumberFormat="1" applyFont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/>
    </xf>
    <xf numFmtId="16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37" xfId="0" applyFont="1" applyFill="1" applyBorder="1" applyAlignment="1">
      <alignment vertical="center"/>
    </xf>
    <xf numFmtId="0" fontId="1" fillId="0" borderId="0" xfId="0" applyFont="1"/>
    <xf numFmtId="0" fontId="7" fillId="0" borderId="58" xfId="0" applyFont="1" applyFill="1" applyBorder="1" applyAlignment="1">
      <alignment horizontal="center" vertical="center"/>
    </xf>
    <xf numFmtId="2" fontId="7" fillId="0" borderId="58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64" fontId="5" fillId="0" borderId="29" xfId="0" applyNumberFormat="1" applyFont="1" applyFill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 wrapText="1"/>
    </xf>
    <xf numFmtId="164" fontId="7" fillId="0" borderId="27" xfId="0" applyNumberFormat="1" applyFont="1" applyFill="1" applyBorder="1" applyAlignment="1">
      <alignment vertical="center"/>
    </xf>
    <xf numFmtId="164" fontId="7" fillId="0" borderId="25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7" fillId="0" borderId="3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4" fillId="0" borderId="33" xfId="0" applyFont="1" applyFill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3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7" fillId="0" borderId="24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164" fontId="7" fillId="0" borderId="32" xfId="0" applyNumberFormat="1" applyFont="1" applyFill="1" applyBorder="1" applyAlignment="1">
      <alignment vertical="center"/>
    </xf>
    <xf numFmtId="2" fontId="7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1" fontId="7" fillId="0" borderId="30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64" fontId="7" fillId="0" borderId="53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164" fontId="7" fillId="0" borderId="3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6" fillId="0" borderId="37" xfId="0" applyFont="1" applyFill="1" applyBorder="1" applyAlignment="1">
      <alignment horizontal="center" vertical="center" wrapText="1"/>
    </xf>
    <xf numFmtId="164" fontId="7" fillId="0" borderId="29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 wrapText="1"/>
    </xf>
    <xf numFmtId="164" fontId="7" fillId="0" borderId="32" xfId="0" applyNumberFormat="1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7" fillId="0" borderId="32" xfId="0" applyFont="1" applyFill="1" applyBorder="1" applyAlignment="1">
      <alignment horizontal="left" vertical="center" wrapText="1"/>
    </xf>
    <xf numFmtId="164" fontId="7" fillId="0" borderId="33" xfId="0" applyNumberFormat="1" applyFont="1" applyFill="1" applyBorder="1" applyAlignment="1">
      <alignment vertical="center" wrapText="1"/>
    </xf>
    <xf numFmtId="164" fontId="7" fillId="0" borderId="34" xfId="0" applyNumberFormat="1" applyFont="1" applyFill="1" applyBorder="1" applyAlignment="1">
      <alignment vertical="center" wrapText="1"/>
    </xf>
    <xf numFmtId="164" fontId="7" fillId="0" borderId="35" xfId="0" applyNumberFormat="1" applyFont="1" applyFill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164" fontId="11" fillId="0" borderId="2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64" fontId="7" fillId="0" borderId="39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vertical="center" wrapText="1"/>
    </xf>
    <xf numFmtId="2" fontId="7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33" xfId="0" applyFont="1" applyFill="1" applyBorder="1" applyAlignment="1">
      <alignment vertical="center"/>
    </xf>
    <xf numFmtId="0" fontId="18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48" fillId="0" borderId="0" xfId="0" applyFont="1"/>
    <xf numFmtId="0" fontId="1" fillId="0" borderId="51" xfId="0" applyFont="1" applyBorder="1"/>
    <xf numFmtId="0" fontId="0" fillId="0" borderId="51" xfId="0" applyBorder="1"/>
    <xf numFmtId="7" fontId="0" fillId="0" borderId="51" xfId="0" applyNumberFormat="1" applyBorder="1"/>
    <xf numFmtId="1" fontId="0" fillId="0" borderId="51" xfId="0" applyNumberFormat="1" applyBorder="1"/>
    <xf numFmtId="7" fontId="1" fillId="0" borderId="51" xfId="0" applyNumberFormat="1" applyFont="1" applyBorder="1"/>
    <xf numFmtId="7" fontId="0" fillId="0" borderId="0" xfId="0" applyNumberFormat="1"/>
    <xf numFmtId="1" fontId="18" fillId="0" borderId="51" xfId="0" applyNumberFormat="1" applyFont="1" applyBorder="1"/>
    <xf numFmtId="0" fontId="46" fillId="0" borderId="0" xfId="0" applyFont="1"/>
    <xf numFmtId="0" fontId="0" fillId="0" borderId="51" xfId="0" applyBorder="1" applyAlignment="1">
      <alignment horizontal="left"/>
    </xf>
    <xf numFmtId="0" fontId="0" fillId="0" borderId="0" xfId="0" applyAlignment="1">
      <alignment horizontal="left"/>
    </xf>
    <xf numFmtId="164" fontId="7" fillId="0" borderId="30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164" fontId="7" fillId="0" borderId="32" xfId="0" applyNumberFormat="1" applyFont="1" applyFill="1" applyBorder="1" applyAlignment="1">
      <alignment vertical="center"/>
    </xf>
    <xf numFmtId="7" fontId="1" fillId="0" borderId="0" xfId="0" applyNumberFormat="1" applyFont="1"/>
    <xf numFmtId="164" fontId="14" fillId="0" borderId="32" xfId="0" applyNumberFormat="1" applyFont="1" applyFill="1" applyBorder="1" applyAlignment="1">
      <alignment vertical="center"/>
    </xf>
    <xf numFmtId="164" fontId="14" fillId="0" borderId="42" xfId="0" applyNumberFormat="1" applyFont="1" applyFill="1" applyBorder="1" applyAlignment="1">
      <alignment vertical="center"/>
    </xf>
    <xf numFmtId="0" fontId="0" fillId="0" borderId="0" xfId="0" applyBorder="1"/>
    <xf numFmtId="7" fontId="0" fillId="0" borderId="54" xfId="0" applyNumberFormat="1" applyBorder="1"/>
    <xf numFmtId="0" fontId="0" fillId="0" borderId="61" xfId="0" applyBorder="1"/>
    <xf numFmtId="0" fontId="0" fillId="0" borderId="62" xfId="0" applyBorder="1"/>
    <xf numFmtId="7" fontId="0" fillId="0" borderId="63" xfId="0" applyNumberFormat="1" applyBorder="1"/>
    <xf numFmtId="0" fontId="18" fillId="0" borderId="60" xfId="0" applyFont="1" applyBorder="1"/>
    <xf numFmtId="0" fontId="0" fillId="0" borderId="34" xfId="0" applyBorder="1"/>
    <xf numFmtId="0" fontId="18" fillId="0" borderId="64" xfId="0" applyFont="1" applyBorder="1"/>
    <xf numFmtId="7" fontId="18" fillId="0" borderId="64" xfId="0" applyNumberFormat="1" applyFont="1" applyBorder="1"/>
    <xf numFmtId="0" fontId="1" fillId="0" borderId="60" xfId="0" applyFont="1" applyBorder="1"/>
    <xf numFmtId="0" fontId="0" fillId="0" borderId="64" xfId="0" applyBorder="1"/>
    <xf numFmtId="7" fontId="0" fillId="0" borderId="64" xfId="0" applyNumberFormat="1" applyBorder="1"/>
    <xf numFmtId="0" fontId="1" fillId="0" borderId="31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6" fillId="0" borderId="32" xfId="0" applyFont="1" applyBorder="1"/>
    <xf numFmtId="164" fontId="9" fillId="0" borderId="32" xfId="0" applyNumberFormat="1" applyFont="1" applyBorder="1" applyAlignment="1">
      <alignment vertical="center"/>
    </xf>
    <xf numFmtId="164" fontId="9" fillId="0" borderId="26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64" fontId="7" fillId="0" borderId="28" xfId="0" applyNumberFormat="1" applyFont="1" applyFill="1" applyBorder="1" applyAlignment="1">
      <alignment vertical="center"/>
    </xf>
    <xf numFmtId="164" fontId="7" fillId="0" borderId="37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64" fontId="7" fillId="0" borderId="39" xfId="0" applyNumberFormat="1" applyFont="1" applyBorder="1" applyAlignment="1">
      <alignment vertical="center"/>
    </xf>
    <xf numFmtId="164" fontId="7" fillId="0" borderId="38" xfId="0" applyNumberFormat="1" applyFont="1" applyFill="1" applyBorder="1" applyAlignment="1">
      <alignment vertical="center"/>
    </xf>
    <xf numFmtId="164" fontId="7" fillId="0" borderId="28" xfId="0" applyNumberFormat="1" applyFont="1" applyFill="1" applyBorder="1" applyAlignment="1">
      <alignment vertical="center" wrapText="1"/>
    </xf>
    <xf numFmtId="164" fontId="7" fillId="0" borderId="29" xfId="0" applyNumberFormat="1" applyFont="1" applyFill="1" applyBorder="1" applyAlignment="1">
      <alignment vertical="center" wrapText="1"/>
    </xf>
    <xf numFmtId="164" fontId="7" fillId="0" borderId="20" xfId="0" applyNumberFormat="1" applyFont="1" applyFill="1" applyBorder="1" applyAlignment="1">
      <alignment vertical="center"/>
    </xf>
    <xf numFmtId="164" fontId="7" fillId="0" borderId="19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7" fillId="0" borderId="37" xfId="0" applyNumberFormat="1" applyFont="1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vertical="center"/>
    </xf>
    <xf numFmtId="0" fontId="14" fillId="0" borderId="32" xfId="0" applyFont="1" applyBorder="1"/>
    <xf numFmtId="0" fontId="16" fillId="0" borderId="34" xfId="0" applyFont="1" applyBorder="1"/>
    <xf numFmtId="0" fontId="16" fillId="0" borderId="35" xfId="0" applyFont="1" applyBorder="1"/>
    <xf numFmtId="0" fontId="18" fillId="0" borderId="0" xfId="0" applyFont="1" applyAlignment="1">
      <alignment vertical="center"/>
    </xf>
    <xf numFmtId="0" fontId="18" fillId="0" borderId="24" xfId="0" applyFont="1" applyBorder="1" applyAlignment="1">
      <alignment vertical="center"/>
    </xf>
    <xf numFmtId="0" fontId="8" fillId="0" borderId="28" xfId="0" applyFont="1" applyBorder="1"/>
    <xf numFmtId="0" fontId="8" fillId="0" borderId="26" xfId="0" applyFont="1" applyBorder="1"/>
    <xf numFmtId="0" fontId="5" fillId="0" borderId="33" xfId="0" applyFont="1" applyBorder="1" applyAlignment="1">
      <alignment horizontal="center" vertical="center"/>
    </xf>
    <xf numFmtId="0" fontId="16" fillId="0" borderId="34" xfId="0" applyFont="1" applyBorder="1" applyAlignment="1"/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164" fontId="4" fillId="0" borderId="35" xfId="0" applyNumberFormat="1" applyFont="1" applyBorder="1" applyAlignment="1">
      <alignment horizontal="center" vertical="center"/>
    </xf>
    <xf numFmtId="0" fontId="14" fillId="0" borderId="24" xfId="0" applyFont="1" applyBorder="1"/>
    <xf numFmtId="0" fontId="16" fillId="0" borderId="0" xfId="0" applyFont="1" applyBorder="1"/>
    <xf numFmtId="0" fontId="16" fillId="0" borderId="31" xfId="0" applyFont="1" applyBorder="1"/>
    <xf numFmtId="0" fontId="16" fillId="0" borderId="24" xfId="0" applyFont="1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164" fontId="4" fillId="0" borderId="24" xfId="0" applyNumberFormat="1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164" fontId="4" fillId="0" borderId="3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5" fillId="2" borderId="24" xfId="0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0" borderId="32" xfId="0" applyNumberFormat="1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164" fontId="7" fillId="0" borderId="34" xfId="0" applyNumberFormat="1" applyFont="1" applyFill="1" applyBorder="1" applyAlignment="1">
      <alignment horizontal="right" vertical="center"/>
    </xf>
    <xf numFmtId="164" fontId="7" fillId="0" borderId="34" xfId="0" applyNumberFormat="1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/>
    </xf>
    <xf numFmtId="164" fontId="4" fillId="0" borderId="35" xfId="0" applyNumberFormat="1" applyFont="1" applyBorder="1" applyAlignment="1">
      <alignment vertical="center"/>
    </xf>
    <xf numFmtId="164" fontId="14" fillId="0" borderId="58" xfId="0" applyNumberFormat="1" applyFont="1" applyFill="1" applyBorder="1" applyAlignment="1">
      <alignment vertical="center"/>
    </xf>
    <xf numFmtId="164" fontId="14" fillId="0" borderId="26" xfId="0" applyNumberFormat="1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16" fillId="0" borderId="39" xfId="0" applyFont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" fillId="0" borderId="37" xfId="0" applyFont="1" applyBorder="1"/>
    <xf numFmtId="0" fontId="8" fillId="0" borderId="31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right" vertical="center"/>
    </xf>
    <xf numFmtId="0" fontId="8" fillId="0" borderId="37" xfId="0" applyFont="1" applyBorder="1"/>
    <xf numFmtId="0" fontId="1" fillId="0" borderId="31" xfId="0" applyFont="1" applyBorder="1" applyAlignment="1">
      <alignment horizontal="left"/>
    </xf>
    <xf numFmtId="0" fontId="8" fillId="0" borderId="39" xfId="0" applyFont="1" applyBorder="1"/>
    <xf numFmtId="0" fontId="1" fillId="0" borderId="41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37" xfId="0" applyFont="1" applyFill="1" applyBorder="1" applyAlignment="1">
      <alignment horizontal="right" vertical="center"/>
    </xf>
    <xf numFmtId="4" fontId="8" fillId="0" borderId="0" xfId="0" applyNumberFormat="1" applyFont="1" applyBorder="1" applyAlignment="1">
      <alignment horizontal="center" vertical="center"/>
    </xf>
    <xf numFmtId="4" fontId="9" fillId="0" borderId="64" xfId="0" applyNumberFormat="1" applyFont="1" applyBorder="1" applyAlignment="1">
      <alignment horizontal="left" vertical="top" wrapText="1"/>
    </xf>
    <xf numFmtId="0" fontId="9" fillId="0" borderId="66" xfId="0" applyFont="1" applyBorder="1" applyAlignment="1">
      <alignment horizontal="right" vertical="top" wrapText="1"/>
    </xf>
    <xf numFmtId="4" fontId="9" fillId="0" borderId="67" xfId="0" applyNumberFormat="1" applyFont="1" applyBorder="1" applyAlignment="1">
      <alignment horizontal="left" vertical="top" wrapText="1"/>
    </xf>
    <xf numFmtId="0" fontId="9" fillId="0" borderId="68" xfId="0" applyFont="1" applyBorder="1" applyAlignment="1">
      <alignment vertical="top" wrapText="1"/>
    </xf>
    <xf numFmtId="0" fontId="9" fillId="0" borderId="71" xfId="0" applyFont="1" applyBorder="1" applyAlignment="1">
      <alignment horizontal="right" vertical="top" wrapText="1"/>
    </xf>
    <xf numFmtId="0" fontId="9" fillId="0" borderId="72" xfId="0" applyFont="1" applyBorder="1" applyAlignment="1">
      <alignment vertical="top" wrapText="1"/>
    </xf>
    <xf numFmtId="0" fontId="9" fillId="0" borderId="71" xfId="0" applyFont="1" applyBorder="1" applyAlignment="1">
      <alignment horizontal="center" vertical="top" wrapText="1"/>
    </xf>
    <xf numFmtId="0" fontId="9" fillId="0" borderId="7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14" xfId="0" applyNumberFormat="1" applyFont="1" applyBorder="1" applyAlignment="1">
      <alignment vertical="center" wrapText="1"/>
    </xf>
    <xf numFmtId="2" fontId="9" fillId="0" borderId="48" xfId="0" applyNumberFormat="1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164" fontId="7" fillId="0" borderId="20" xfId="0" applyNumberFormat="1" applyFont="1" applyBorder="1" applyAlignment="1">
      <alignment vertical="center" wrapText="1"/>
    </xf>
    <xf numFmtId="2" fontId="9" fillId="0" borderId="51" xfId="0" applyNumberFormat="1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164" fontId="7" fillId="0" borderId="16" xfId="0" applyNumberFormat="1" applyFont="1" applyBorder="1" applyAlignment="1">
      <alignment vertical="center" wrapText="1"/>
    </xf>
    <xf numFmtId="2" fontId="9" fillId="0" borderId="51" xfId="0" applyNumberFormat="1" applyFont="1" applyBorder="1"/>
    <xf numFmtId="9" fontId="9" fillId="0" borderId="51" xfId="0" applyNumberFormat="1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8" fillId="0" borderId="34" xfId="0" applyFont="1" applyBorder="1"/>
    <xf numFmtId="0" fontId="8" fillId="0" borderId="35" xfId="0" applyFont="1" applyBorder="1"/>
    <xf numFmtId="0" fontId="8" fillId="0" borderId="32" xfId="0" applyFont="1" applyBorder="1" applyAlignment="1">
      <alignment vertical="center"/>
    </xf>
    <xf numFmtId="164" fontId="7" fillId="0" borderId="32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64" fontId="8" fillId="0" borderId="34" xfId="0" applyNumberFormat="1" applyFont="1" applyBorder="1"/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39" xfId="0" applyFont="1" applyBorder="1"/>
    <xf numFmtId="0" fontId="5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8" fillId="0" borderId="32" xfId="0" applyFont="1" applyBorder="1"/>
    <xf numFmtId="164" fontId="8" fillId="0" borderId="32" xfId="0" applyNumberFormat="1" applyFont="1" applyBorder="1" applyAlignment="1">
      <alignment vertical="center"/>
    </xf>
    <xf numFmtId="0" fontId="0" fillId="0" borderId="0" xfId="0" applyAlignment="1"/>
    <xf numFmtId="0" fontId="7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4" xfId="0" applyFont="1" applyBorder="1" applyAlignment="1">
      <alignment horizontal="left" vertical="center"/>
    </xf>
    <xf numFmtId="0" fontId="49" fillId="0" borderId="34" xfId="4" applyBorder="1" applyAlignment="1" applyProtection="1"/>
    <xf numFmtId="0" fontId="8" fillId="0" borderId="34" xfId="0" applyFont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0" borderId="34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6" fillId="0" borderId="33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164" fontId="9" fillId="0" borderId="47" xfId="0" applyNumberFormat="1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164" fontId="7" fillId="0" borderId="50" xfId="0" applyNumberFormat="1" applyFont="1" applyFill="1" applyBorder="1" applyAlignment="1">
      <alignment vertical="center" wrapText="1"/>
    </xf>
    <xf numFmtId="0" fontId="1" fillId="0" borderId="51" xfId="0" applyFont="1" applyFill="1" applyBorder="1" applyAlignment="1">
      <alignment vertical="center" wrapText="1"/>
    </xf>
    <xf numFmtId="0" fontId="1" fillId="0" borderId="52" xfId="0" applyFont="1" applyFill="1" applyBorder="1" applyAlignment="1">
      <alignment vertical="center" wrapText="1"/>
    </xf>
    <xf numFmtId="164" fontId="7" fillId="0" borderId="40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4" fontId="7" fillId="0" borderId="14" xfId="0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6" fillId="0" borderId="51" xfId="0" applyFont="1" applyFill="1" applyBorder="1" applyAlignment="1">
      <alignment vertical="center" wrapText="1"/>
    </xf>
    <xf numFmtId="0" fontId="26" fillId="0" borderId="52" xfId="0" applyFont="1" applyFill="1" applyBorder="1" applyAlignment="1">
      <alignment vertical="center" wrapText="1"/>
    </xf>
    <xf numFmtId="164" fontId="7" fillId="0" borderId="27" xfId="0" applyNumberFormat="1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164" fontId="7" fillId="0" borderId="37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164" fontId="7" fillId="0" borderId="16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7" fillId="0" borderId="16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7" fillId="0" borderId="39" xfId="0" applyNumberFormat="1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164" fontId="7" fillId="0" borderId="37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7" fillId="0" borderId="53" xfId="0" applyNumberFormat="1" applyFont="1" applyFill="1" applyBorder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164" fontId="7" fillId="0" borderId="48" xfId="0" applyNumberFormat="1" applyFont="1" applyFill="1" applyBorder="1" applyAlignment="1">
      <alignment vertical="center" wrapText="1"/>
    </xf>
    <xf numFmtId="0" fontId="1" fillId="0" borderId="49" xfId="0" applyFont="1" applyFill="1" applyBorder="1" applyAlignment="1">
      <alignment vertical="center" wrapText="1"/>
    </xf>
    <xf numFmtId="164" fontId="7" fillId="0" borderId="51" xfId="0" applyNumberFormat="1" applyFont="1" applyFill="1" applyBorder="1" applyAlignment="1">
      <alignment vertical="center" wrapText="1"/>
    </xf>
    <xf numFmtId="164" fontId="7" fillId="0" borderId="30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" fontId="7" fillId="0" borderId="30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2" fontId="7" fillId="0" borderId="24" xfId="0" applyNumberFormat="1" applyFont="1" applyFill="1" applyBorder="1" applyAlignment="1">
      <alignment horizontal="center" vertical="center"/>
    </xf>
    <xf numFmtId="2" fontId="7" fillId="0" borderId="26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0" borderId="12" xfId="0" applyFont="1" applyFill="1" applyBorder="1"/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164" fontId="7" fillId="0" borderId="8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7" fillId="0" borderId="3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7" fillId="0" borderId="12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4" fontId="7" fillId="0" borderId="40" xfId="0" applyNumberFormat="1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7" fillId="0" borderId="30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164" fontId="7" fillId="0" borderId="40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" fontId="7" fillId="0" borderId="30" xfId="0" applyNumberFormat="1" applyFont="1" applyFill="1" applyBorder="1" applyAlignment="1">
      <alignment horizontal="center" vertical="center"/>
    </xf>
    <xf numFmtId="0" fontId="14" fillId="0" borderId="33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164" fontId="7" fillId="0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168" fontId="7" fillId="0" borderId="27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64" fontId="7" fillId="0" borderId="27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vertical="center"/>
    </xf>
    <xf numFmtId="164" fontId="7" fillId="0" borderId="16" xfId="0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40" xfId="0" applyNumberFormat="1" applyFont="1" applyFill="1" applyBorder="1" applyAlignment="1">
      <alignment horizontal="left" vertical="center"/>
    </xf>
    <xf numFmtId="164" fontId="7" fillId="0" borderId="23" xfId="0" applyNumberFormat="1" applyFont="1" applyFill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left" vertical="center"/>
    </xf>
    <xf numFmtId="0" fontId="1" fillId="0" borderId="36" xfId="0" applyFont="1" applyFill="1" applyBorder="1" applyAlignment="1">
      <alignment vertical="center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1" fontId="1" fillId="0" borderId="36" xfId="0" applyNumberFormat="1" applyFont="1" applyFill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164" fontId="7" fillId="0" borderId="30" xfId="0" applyNumberFormat="1" applyFont="1" applyFill="1" applyBorder="1" applyAlignment="1">
      <alignment vertical="center" wrapText="1"/>
    </xf>
    <xf numFmtId="164" fontId="7" fillId="0" borderId="24" xfId="0" applyNumberFormat="1" applyFont="1" applyFill="1" applyBorder="1" applyAlignment="1">
      <alignment vertical="center" wrapText="1"/>
    </xf>
    <xf numFmtId="164" fontId="7" fillId="0" borderId="26" xfId="0" applyNumberFormat="1" applyFont="1" applyFill="1" applyBorder="1" applyAlignment="1">
      <alignment vertical="center" wrapText="1"/>
    </xf>
    <xf numFmtId="0" fontId="0" fillId="0" borderId="39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164" fontId="7" fillId="0" borderId="15" xfId="0" applyNumberFormat="1" applyFont="1" applyFill="1" applyBorder="1" applyAlignment="1">
      <alignment vertical="center" wrapText="1"/>
    </xf>
    <xf numFmtId="164" fontId="7" fillId="0" borderId="10" xfId="0" applyNumberFormat="1" applyFont="1" applyFill="1" applyBorder="1" applyAlignment="1">
      <alignment vertical="center" wrapText="1"/>
    </xf>
    <xf numFmtId="0" fontId="45" fillId="0" borderId="27" xfId="0" applyFont="1" applyFill="1" applyBorder="1" applyAlignment="1">
      <alignment horizontal="left" vertical="center" wrapText="1"/>
    </xf>
    <xf numFmtId="0" fontId="45" fillId="0" borderId="28" xfId="0" applyFont="1" applyFill="1" applyBorder="1" applyAlignment="1">
      <alignment horizontal="left" vertical="center" wrapText="1"/>
    </xf>
    <xf numFmtId="0" fontId="45" fillId="0" borderId="29" xfId="0" applyFont="1" applyFill="1" applyBorder="1" applyAlignment="1">
      <alignment horizontal="left" vertical="center" wrapText="1"/>
    </xf>
    <xf numFmtId="0" fontId="46" fillId="0" borderId="37" xfId="0" applyFont="1" applyFill="1" applyBorder="1" applyAlignment="1">
      <alignment horizontal="left" vertical="center" wrapText="1"/>
    </xf>
    <xf numFmtId="0" fontId="46" fillId="0" borderId="0" xfId="0" applyFont="1" applyFill="1" applyAlignment="1">
      <alignment horizontal="left" vertical="center" wrapText="1"/>
    </xf>
    <xf numFmtId="0" fontId="46" fillId="0" borderId="31" xfId="0" applyFont="1" applyFill="1" applyBorder="1" applyAlignment="1">
      <alignment horizontal="left" vertical="center" wrapText="1"/>
    </xf>
    <xf numFmtId="0" fontId="46" fillId="0" borderId="39" xfId="0" applyFont="1" applyFill="1" applyBorder="1" applyAlignment="1">
      <alignment horizontal="left" vertical="center" wrapText="1"/>
    </xf>
    <xf numFmtId="0" fontId="46" fillId="0" borderId="38" xfId="0" applyFont="1" applyFill="1" applyBorder="1" applyAlignment="1">
      <alignment horizontal="left" vertical="center" wrapText="1"/>
    </xf>
    <xf numFmtId="0" fontId="46" fillId="0" borderId="4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vertical="center" wrapText="1"/>
    </xf>
    <xf numFmtId="164" fontId="7" fillId="0" borderId="32" xfId="0" applyNumberFormat="1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" fillId="0" borderId="32" xfId="0" applyFont="1" applyFill="1" applyBorder="1"/>
    <xf numFmtId="164" fontId="7" fillId="0" borderId="33" xfId="0" applyNumberFormat="1" applyFont="1" applyFill="1" applyBorder="1" applyAlignment="1">
      <alignment vertical="center" wrapText="1"/>
    </xf>
    <xf numFmtId="164" fontId="7" fillId="0" borderId="34" xfId="0" applyNumberFormat="1" applyFont="1" applyFill="1" applyBorder="1" applyAlignment="1">
      <alignment vertical="center" wrapText="1"/>
    </xf>
    <xf numFmtId="164" fontId="7" fillId="0" borderId="35" xfId="0" applyNumberFormat="1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5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vertical="top" wrapText="1"/>
    </xf>
    <xf numFmtId="0" fontId="9" fillId="0" borderId="65" xfId="0" applyFont="1" applyBorder="1" applyAlignment="1">
      <alignment vertical="top" wrapText="1"/>
    </xf>
    <xf numFmtId="0" fontId="9" fillId="0" borderId="70" xfId="0" applyFont="1" applyBorder="1" applyAlignment="1">
      <alignment vertical="top" wrapText="1"/>
    </xf>
  </cellXfs>
  <cellStyles count="5">
    <cellStyle name="Normal 2" xfId="1"/>
    <cellStyle name="Normal 2 2" xfId="2"/>
    <cellStyle name="Normal 3" xfId="3"/>
    <cellStyle name="Κανονικό" xfId="0" builtinId="0"/>
    <cellStyle name="Υπερ-σύνδεση" xfId="4" builtinId="8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314325</xdr:colOff>
          <xdr:row>81</xdr:row>
          <xdr:rowOff>0</xdr:rowOff>
        </xdr:from>
        <xdr:to>
          <xdr:col>18</xdr:col>
          <xdr:colOff>361950</xdr:colOff>
          <xdr:row>85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88</xdr:row>
          <xdr:rowOff>104775</xdr:rowOff>
        </xdr:from>
        <xdr:to>
          <xdr:col>18</xdr:col>
          <xdr:colOff>0</xdr:colOff>
          <xdr:row>91</xdr:row>
          <xdr:rowOff>85725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92</xdr:row>
          <xdr:rowOff>133350</xdr:rowOff>
        </xdr:from>
        <xdr:to>
          <xdr:col>19</xdr:col>
          <xdr:colOff>200025</xdr:colOff>
          <xdr:row>94</xdr:row>
          <xdr:rowOff>104775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314325</xdr:colOff>
          <xdr:row>17</xdr:row>
          <xdr:rowOff>114300</xdr:rowOff>
        </xdr:from>
        <xdr:to>
          <xdr:col>18</xdr:col>
          <xdr:colOff>361950</xdr:colOff>
          <xdr:row>21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A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gm.gr/wp-content/uploads/2019/04/Egkyklios_3_anaprosarmogi_timis_syntelesti_Kan_Proekt_Amoiv_Meleton_Ypiresion_201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S56"/>
  <sheetViews>
    <sheetView view="pageBreakPreview" topLeftCell="A10" zoomScaleSheetLayoutView="100" workbookViewId="0">
      <selection activeCell="G23" sqref="G23"/>
    </sheetView>
  </sheetViews>
  <sheetFormatPr defaultColWidth="9.140625" defaultRowHeight="12.75" x14ac:dyDescent="0.2"/>
  <cols>
    <col min="1" max="1" width="8.7109375" style="26" customWidth="1"/>
    <col min="2" max="2" width="9.5703125" style="26" customWidth="1"/>
    <col min="3" max="3" width="13.7109375" style="26" customWidth="1"/>
    <col min="4" max="4" width="12.7109375" style="26" customWidth="1"/>
    <col min="5" max="5" width="12" style="26" customWidth="1"/>
    <col min="6" max="6" width="8.85546875" style="116" customWidth="1"/>
    <col min="7" max="7" width="8" style="35" customWidth="1"/>
    <col min="8" max="8" width="9" style="154" customWidth="1"/>
    <col min="9" max="9" width="10.42578125" style="26" customWidth="1"/>
    <col min="10" max="10" width="16.28515625" style="26" customWidth="1"/>
    <col min="11" max="11" width="13.42578125" style="26" customWidth="1"/>
    <col min="12" max="12" width="12.7109375" style="172" customWidth="1"/>
    <col min="13" max="13" width="31" style="172" customWidth="1"/>
    <col min="14" max="14" width="12.7109375" style="172" customWidth="1"/>
    <col min="15" max="15" width="6.5703125" style="172" customWidth="1"/>
    <col min="16" max="16" width="10.7109375" style="172" customWidth="1"/>
    <col min="17" max="19" width="9.140625" style="172"/>
    <col min="20" max="16384" width="9.140625" style="26"/>
  </cols>
  <sheetData>
    <row r="1" spans="1:19" s="191" customFormat="1" ht="15.95" customHeight="1" x14ac:dyDescent="0.2">
      <c r="A1" s="118" t="s">
        <v>0</v>
      </c>
      <c r="B1" s="36"/>
      <c r="C1" s="36"/>
      <c r="D1" s="36"/>
      <c r="E1" s="36"/>
      <c r="F1" s="112"/>
      <c r="G1" s="111"/>
      <c r="H1" s="164"/>
      <c r="I1" s="37"/>
      <c r="J1" s="37"/>
      <c r="K1" s="37"/>
      <c r="L1" s="21"/>
      <c r="M1" s="190"/>
      <c r="N1" s="190"/>
      <c r="O1" s="190"/>
      <c r="P1" s="190"/>
      <c r="Q1" s="190"/>
      <c r="R1" s="190"/>
      <c r="S1" s="190"/>
    </row>
    <row r="2" spans="1:19" s="191" customFormat="1" ht="15.95" customHeight="1" x14ac:dyDescent="0.2">
      <c r="A2" s="118" t="s">
        <v>128</v>
      </c>
      <c r="B2" s="36"/>
      <c r="C2" s="36"/>
      <c r="D2" s="36"/>
      <c r="E2" s="36"/>
      <c r="F2" s="113"/>
      <c r="H2" s="164"/>
      <c r="I2" s="37"/>
      <c r="J2" s="37"/>
      <c r="K2" s="37"/>
      <c r="L2" s="21"/>
      <c r="M2" s="190"/>
      <c r="N2" s="190"/>
      <c r="O2" s="190"/>
      <c r="P2" s="190"/>
      <c r="Q2" s="190"/>
      <c r="R2" s="190"/>
      <c r="S2" s="190"/>
    </row>
    <row r="3" spans="1:19" s="191" customFormat="1" ht="15.95" customHeight="1" x14ac:dyDescent="0.2">
      <c r="A3" s="118" t="s">
        <v>129</v>
      </c>
      <c r="B3" s="36"/>
      <c r="C3" s="36"/>
      <c r="D3" s="36"/>
      <c r="E3" s="36"/>
      <c r="F3" s="113"/>
      <c r="H3" s="36"/>
      <c r="I3" s="37"/>
      <c r="J3" s="37"/>
      <c r="K3" s="37"/>
      <c r="L3" s="21"/>
      <c r="M3" s="190"/>
      <c r="N3" s="190"/>
      <c r="O3" s="190"/>
      <c r="P3" s="190"/>
      <c r="Q3" s="190"/>
      <c r="R3" s="190"/>
      <c r="S3" s="190"/>
    </row>
    <row r="4" spans="1:19" s="191" customFormat="1" ht="15.95" customHeight="1" x14ac:dyDescent="0.2">
      <c r="A4" s="118" t="s">
        <v>130</v>
      </c>
      <c r="B4" s="36"/>
      <c r="C4" s="36"/>
      <c r="D4" s="36"/>
      <c r="E4" s="36"/>
      <c r="F4" s="114"/>
      <c r="G4" s="139"/>
      <c r="H4" s="164"/>
      <c r="I4" s="37"/>
      <c r="J4" s="37"/>
      <c r="K4" s="37"/>
      <c r="L4" s="21"/>
      <c r="M4" s="190"/>
      <c r="N4" s="190"/>
      <c r="O4" s="190"/>
      <c r="P4" s="190"/>
      <c r="Q4" s="190"/>
      <c r="R4" s="190"/>
      <c r="S4" s="190"/>
    </row>
    <row r="5" spans="1:19" s="191" customFormat="1" ht="15.95" customHeight="1" x14ac:dyDescent="0.2">
      <c r="A5" s="118" t="s">
        <v>131</v>
      </c>
      <c r="B5" s="36"/>
      <c r="C5" s="36"/>
      <c r="D5" s="36"/>
      <c r="E5" s="36"/>
      <c r="F5" s="113"/>
      <c r="G5" s="164"/>
      <c r="H5" s="164"/>
      <c r="I5" s="37"/>
      <c r="J5" s="37"/>
      <c r="K5" s="37"/>
      <c r="L5" s="21"/>
      <c r="M5" s="190"/>
      <c r="N5" s="190"/>
      <c r="O5" s="190"/>
      <c r="P5" s="190"/>
      <c r="Q5" s="190"/>
      <c r="R5" s="190"/>
      <c r="S5" s="190"/>
    </row>
    <row r="6" spans="1:19" s="191" customFormat="1" ht="15.95" customHeight="1" x14ac:dyDescent="0.2">
      <c r="A6" s="118" t="s">
        <v>132</v>
      </c>
      <c r="B6" s="164"/>
      <c r="C6" s="164"/>
      <c r="D6" s="164"/>
      <c r="E6" s="164"/>
      <c r="F6" s="113"/>
      <c r="G6" s="164"/>
      <c r="H6" s="164"/>
      <c r="I6" s="37"/>
      <c r="J6" s="37"/>
      <c r="K6" s="37"/>
      <c r="L6" s="21"/>
      <c r="M6" s="190"/>
      <c r="N6" s="190"/>
      <c r="O6" s="190"/>
      <c r="P6" s="190"/>
      <c r="Q6" s="190"/>
      <c r="R6" s="190"/>
      <c r="S6" s="190"/>
    </row>
    <row r="7" spans="1:19" s="191" customFormat="1" ht="15.95" customHeight="1" x14ac:dyDescent="0.2">
      <c r="A7" s="118"/>
      <c r="B7" s="164"/>
      <c r="C7" s="164"/>
      <c r="D7" s="164"/>
      <c r="E7" s="164"/>
      <c r="F7" s="113"/>
      <c r="G7" s="164"/>
      <c r="H7" s="164"/>
      <c r="I7" s="37"/>
      <c r="J7" s="37"/>
      <c r="K7" s="37"/>
      <c r="L7" s="21"/>
      <c r="M7" s="190"/>
      <c r="N7" s="190"/>
      <c r="O7" s="190"/>
      <c r="P7" s="190"/>
      <c r="Q7" s="190"/>
      <c r="R7" s="190"/>
      <c r="S7" s="190"/>
    </row>
    <row r="8" spans="1:19" s="191" customFormat="1" ht="15.95" customHeight="1" x14ac:dyDescent="0.2">
      <c r="A8" s="12"/>
      <c r="B8" s="164"/>
      <c r="C8" s="164"/>
      <c r="D8" s="164"/>
      <c r="E8" s="164"/>
      <c r="F8" s="113"/>
      <c r="G8" s="164"/>
      <c r="H8" s="164"/>
      <c r="I8" s="37"/>
      <c r="J8" s="37"/>
      <c r="K8" s="37"/>
      <c r="L8" s="21"/>
      <c r="M8" s="190"/>
      <c r="N8" s="190"/>
      <c r="O8" s="190"/>
      <c r="P8" s="190"/>
      <c r="Q8" s="190"/>
      <c r="R8" s="190"/>
      <c r="S8" s="190"/>
    </row>
    <row r="9" spans="1:19" s="191" customFormat="1" ht="15.95" customHeight="1" x14ac:dyDescent="0.2">
      <c r="A9" s="37"/>
      <c r="B9" s="164"/>
      <c r="C9" s="164"/>
      <c r="D9" s="164"/>
      <c r="E9" s="164"/>
      <c r="F9" s="113"/>
      <c r="G9" s="164"/>
      <c r="H9" s="164"/>
      <c r="I9" s="37"/>
      <c r="J9" s="37"/>
      <c r="K9" s="37"/>
      <c r="L9" s="21"/>
      <c r="M9" s="190"/>
      <c r="N9" s="190"/>
      <c r="O9" s="190"/>
      <c r="P9" s="190"/>
      <c r="Q9" s="190"/>
      <c r="R9" s="190"/>
      <c r="S9" s="190"/>
    </row>
    <row r="10" spans="1:19" s="191" customFormat="1" ht="15.95" customHeight="1" x14ac:dyDescent="0.2">
      <c r="A10" s="36"/>
      <c r="B10" s="164"/>
      <c r="C10" s="164"/>
      <c r="D10" s="164"/>
      <c r="E10" s="164"/>
      <c r="F10" s="113"/>
      <c r="G10" s="164"/>
      <c r="H10" s="164"/>
      <c r="I10" s="58"/>
      <c r="J10" s="58"/>
      <c r="K10" s="37"/>
      <c r="L10" s="21"/>
      <c r="M10" s="190"/>
      <c r="N10" s="190"/>
      <c r="O10" s="190"/>
      <c r="P10" s="190"/>
      <c r="Q10" s="190"/>
      <c r="R10" s="190"/>
      <c r="S10" s="190"/>
    </row>
    <row r="11" spans="1:19" s="191" customFormat="1" ht="15.95" customHeight="1" x14ac:dyDescent="0.2">
      <c r="A11" s="36"/>
      <c r="B11" s="164"/>
      <c r="C11" s="164"/>
      <c r="D11" s="164"/>
      <c r="E11" s="164"/>
      <c r="F11" s="113"/>
      <c r="G11" s="164"/>
      <c r="H11" s="164"/>
      <c r="I11" s="37"/>
      <c r="J11" s="37"/>
      <c r="K11" s="58"/>
      <c r="L11" s="21"/>
      <c r="M11" s="190"/>
      <c r="N11" s="190"/>
      <c r="O11" s="190"/>
      <c r="P11" s="190"/>
      <c r="Q11" s="190"/>
      <c r="R11" s="190"/>
      <c r="S11" s="190"/>
    </row>
    <row r="12" spans="1:19" s="191" customFormat="1" ht="15.95" customHeight="1" x14ac:dyDescent="0.2">
      <c r="A12" s="36"/>
      <c r="B12" s="164"/>
      <c r="C12" s="164"/>
      <c r="D12" s="164"/>
      <c r="E12" s="164"/>
      <c r="F12" s="113"/>
      <c r="G12" s="164"/>
      <c r="H12" s="164"/>
      <c r="I12" s="37"/>
      <c r="J12" s="37"/>
      <c r="K12" s="58"/>
      <c r="L12" s="21"/>
      <c r="M12" s="190"/>
      <c r="N12" s="190"/>
      <c r="O12" s="190"/>
      <c r="P12" s="190"/>
      <c r="Q12" s="190"/>
      <c r="R12" s="190"/>
      <c r="S12" s="190"/>
    </row>
    <row r="13" spans="1:19" s="191" customFormat="1" ht="15.95" customHeight="1" x14ac:dyDescent="0.2">
      <c r="A13" s="36"/>
      <c r="B13" s="164"/>
      <c r="C13" s="164"/>
      <c r="D13" s="164"/>
      <c r="E13" s="164"/>
      <c r="F13" s="113"/>
      <c r="G13" s="111"/>
      <c r="I13" s="37"/>
      <c r="J13" s="37"/>
      <c r="K13" s="37"/>
      <c r="L13" s="21"/>
      <c r="M13" s="190"/>
      <c r="N13" s="190"/>
      <c r="O13" s="190"/>
      <c r="P13" s="190"/>
      <c r="Q13" s="190"/>
      <c r="R13" s="190"/>
      <c r="S13" s="190"/>
    </row>
    <row r="14" spans="1:19" s="191" customFormat="1" ht="15.95" customHeight="1" x14ac:dyDescent="0.2">
      <c r="A14" s="36"/>
      <c r="B14" s="164"/>
      <c r="C14" s="164"/>
      <c r="D14" s="164"/>
      <c r="E14" s="164"/>
      <c r="F14" s="115"/>
      <c r="G14" s="164"/>
      <c r="I14" s="37"/>
      <c r="J14" s="37"/>
      <c r="K14" s="37"/>
      <c r="L14" s="21"/>
      <c r="M14" s="190"/>
      <c r="N14" s="190"/>
      <c r="O14" s="190"/>
      <c r="P14" s="190"/>
      <c r="Q14" s="190"/>
      <c r="R14" s="190"/>
      <c r="S14" s="190"/>
    </row>
    <row r="15" spans="1:19" s="191" customFormat="1" ht="15" customHeight="1" x14ac:dyDescent="0.2">
      <c r="A15" s="36"/>
      <c r="B15" s="164"/>
      <c r="C15" s="164"/>
      <c r="D15" s="164"/>
      <c r="E15" s="164"/>
      <c r="F15" s="112"/>
      <c r="G15" s="164"/>
      <c r="H15" s="164"/>
      <c r="I15" s="37"/>
      <c r="J15" s="37"/>
      <c r="K15" s="21"/>
      <c r="L15" s="21"/>
      <c r="M15" s="190"/>
      <c r="N15" s="190"/>
      <c r="O15" s="190"/>
      <c r="P15" s="190"/>
      <c r="Q15" s="190"/>
      <c r="R15" s="190"/>
      <c r="S15" s="190"/>
    </row>
    <row r="16" spans="1:19" s="36" customFormat="1" ht="15" customHeight="1" x14ac:dyDescent="0.2"/>
    <row r="17" spans="1:19" s="191" customFormat="1" ht="15" customHeight="1" x14ac:dyDescent="0.2">
      <c r="A17" s="36"/>
      <c r="B17" s="164"/>
      <c r="C17" s="164"/>
      <c r="D17" s="164"/>
      <c r="E17" s="164"/>
      <c r="F17" s="112"/>
      <c r="G17" s="164"/>
      <c r="H17" s="164"/>
      <c r="I17" s="37"/>
      <c r="J17" s="37"/>
      <c r="K17" s="21"/>
      <c r="L17" s="21"/>
      <c r="M17" s="190"/>
      <c r="N17" s="190"/>
      <c r="O17" s="190"/>
      <c r="P17" s="190"/>
      <c r="Q17" s="190"/>
      <c r="R17" s="190"/>
      <c r="S17" s="190"/>
    </row>
    <row r="18" spans="1:19" ht="20.100000000000001" customHeight="1" x14ac:dyDescent="0.2">
      <c r="A18" s="643" t="s">
        <v>127</v>
      </c>
      <c r="B18" s="643"/>
      <c r="C18" s="643"/>
      <c r="D18" s="643"/>
      <c r="E18" s="643"/>
      <c r="F18" s="643"/>
      <c r="G18" s="643"/>
      <c r="H18" s="643"/>
      <c r="I18" s="643"/>
      <c r="J18" s="643"/>
      <c r="K18" s="150"/>
      <c r="L18" s="150"/>
      <c r="M18" s="150"/>
    </row>
    <row r="19" spans="1:19" ht="18" customHeight="1" x14ac:dyDescent="0.2">
      <c r="A19" s="643" t="s">
        <v>569</v>
      </c>
      <c r="B19" s="643"/>
      <c r="C19" s="643"/>
      <c r="D19" s="643"/>
      <c r="E19" s="643"/>
      <c r="F19" s="643"/>
      <c r="G19" s="643"/>
      <c r="H19" s="643"/>
      <c r="I19" s="643"/>
      <c r="J19" s="643"/>
      <c r="K19" s="151"/>
      <c r="L19" s="151"/>
      <c r="M19" s="150"/>
    </row>
    <row r="20" spans="1:19" ht="18" customHeight="1" x14ac:dyDescent="0.2">
      <c r="A20" s="643" t="s">
        <v>568</v>
      </c>
      <c r="B20" s="644"/>
      <c r="C20" s="644"/>
      <c r="D20" s="644"/>
      <c r="E20" s="644"/>
      <c r="F20" s="644"/>
      <c r="G20" s="644"/>
      <c r="H20" s="644"/>
      <c r="I20" s="644"/>
      <c r="J20" s="644"/>
      <c r="M20" s="150"/>
    </row>
    <row r="21" spans="1:19" ht="18" customHeight="1" x14ac:dyDescent="0.2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0"/>
    </row>
    <row r="22" spans="1:19" ht="15" customHeight="1" x14ac:dyDescent="0.2">
      <c r="A22" s="44"/>
      <c r="B22" s="147"/>
      <c r="C22" s="147"/>
      <c r="D22" s="147"/>
      <c r="E22" s="642"/>
      <c r="F22" s="642"/>
      <c r="G22" s="147"/>
      <c r="H22" s="147"/>
      <c r="I22" s="147"/>
      <c r="J22" s="146"/>
      <c r="K22" s="146"/>
      <c r="L22" s="146"/>
      <c r="M22" s="146"/>
      <c r="N22" s="146"/>
    </row>
    <row r="23" spans="1:19" ht="15" customHeight="1" x14ac:dyDescent="0.2">
      <c r="A23" s="44"/>
      <c r="B23" s="147"/>
      <c r="C23" s="147"/>
      <c r="D23" s="147"/>
      <c r="E23" s="147"/>
      <c r="F23" s="147"/>
      <c r="G23" s="147"/>
      <c r="H23" s="147"/>
      <c r="I23" s="147"/>
      <c r="J23" s="146"/>
      <c r="K23" s="146"/>
      <c r="L23" s="146"/>
      <c r="M23" s="146"/>
      <c r="N23" s="146"/>
    </row>
    <row r="24" spans="1:19" ht="15" customHeight="1" x14ac:dyDescent="0.2">
      <c r="A24" s="1"/>
      <c r="B24" s="147"/>
      <c r="C24" s="147"/>
      <c r="D24" s="147"/>
      <c r="E24" s="147"/>
      <c r="F24" s="144"/>
      <c r="G24" s="147"/>
      <c r="H24" s="147"/>
      <c r="J24" s="1"/>
      <c r="K24" s="1"/>
      <c r="L24" s="1"/>
      <c r="M24" s="1"/>
      <c r="N24" s="1"/>
    </row>
    <row r="25" spans="1:19" ht="15" customHeight="1" x14ac:dyDescent="0.2">
      <c r="B25" s="147"/>
      <c r="C25" s="147"/>
      <c r="D25" s="147"/>
      <c r="E25" s="642"/>
      <c r="F25" s="642"/>
      <c r="G25" s="147"/>
      <c r="H25" s="147"/>
      <c r="J25" s="1"/>
      <c r="K25" s="1"/>
      <c r="L25" s="1"/>
      <c r="M25" s="1"/>
      <c r="N25" s="1"/>
    </row>
    <row r="26" spans="1:19" ht="15" customHeight="1" x14ac:dyDescent="0.2">
      <c r="B26" s="147"/>
      <c r="C26" s="147"/>
      <c r="D26" s="147"/>
      <c r="E26" s="642"/>
      <c r="F26" s="642"/>
      <c r="G26" s="145"/>
      <c r="H26" s="145"/>
      <c r="I26" s="145"/>
      <c r="J26" s="143"/>
      <c r="K26" s="143"/>
      <c r="L26" s="143"/>
      <c r="M26" s="143"/>
      <c r="N26" s="143"/>
    </row>
    <row r="27" spans="1:19" ht="15" customHeight="1" x14ac:dyDescent="0.2">
      <c r="A27" s="1"/>
      <c r="B27" s="146"/>
      <c r="C27" s="146"/>
      <c r="D27" s="146"/>
      <c r="E27" s="146"/>
      <c r="F27" s="117"/>
      <c r="G27" s="146"/>
      <c r="H27" s="146"/>
      <c r="I27" s="146"/>
      <c r="J27" s="146"/>
      <c r="K27" s="146"/>
      <c r="L27" s="146"/>
      <c r="M27" s="146"/>
      <c r="N27" s="146"/>
    </row>
    <row r="28" spans="1:19" ht="15" customHeight="1" x14ac:dyDescent="0.2"/>
    <row r="29" spans="1:19" ht="15" customHeight="1" x14ac:dyDescent="0.2"/>
    <row r="30" spans="1:19" ht="15" customHeight="1" x14ac:dyDescent="0.2"/>
    <row r="31" spans="1:19" ht="15" customHeight="1" x14ac:dyDescent="0.25">
      <c r="E31" s="229" t="s">
        <v>133</v>
      </c>
    </row>
    <row r="32" spans="1:19" ht="15" customHeight="1" x14ac:dyDescent="0.25">
      <c r="E32" s="229" t="s">
        <v>491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6">
    <mergeCell ref="E22:F22"/>
    <mergeCell ref="E25:F25"/>
    <mergeCell ref="E26:F26"/>
    <mergeCell ref="A18:J18"/>
    <mergeCell ref="A19:J19"/>
    <mergeCell ref="A20:J20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87" orientation="portrait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I14" sqref="I14"/>
    </sheetView>
  </sheetViews>
  <sheetFormatPr defaultColWidth="9.140625" defaultRowHeight="12.75" x14ac:dyDescent="0.2"/>
  <cols>
    <col min="1" max="1" width="5.42578125" style="35" customWidth="1"/>
    <col min="2" max="2" width="3.7109375" style="26" customWidth="1"/>
    <col min="3" max="3" width="4" style="26" customWidth="1"/>
    <col min="4" max="4" width="2.42578125" style="26" customWidth="1"/>
    <col min="5" max="5" width="2.85546875" style="26" customWidth="1"/>
    <col min="6" max="6" width="6.5703125" style="34" customWidth="1"/>
    <col min="7" max="7" width="7.85546875" style="35" customWidth="1"/>
    <col min="8" max="8" width="4.85546875" style="26" customWidth="1"/>
    <col min="9" max="9" width="9.85546875" style="26" customWidth="1"/>
    <col min="10" max="10" width="10.42578125" style="26" customWidth="1"/>
    <col min="11" max="11" width="9" style="26" customWidth="1"/>
    <col min="12" max="12" width="8.85546875" style="26" customWidth="1"/>
    <col min="13" max="13" width="19.7109375" style="26" customWidth="1"/>
    <col min="14" max="14" width="11.85546875" style="26" customWidth="1"/>
    <col min="15" max="15" width="13.5703125" style="26" customWidth="1"/>
    <col min="16" max="16" width="9.140625" style="26"/>
    <col min="17" max="17" width="13.7109375" style="26" customWidth="1"/>
    <col min="18" max="16384" width="9.140625" style="26"/>
  </cols>
  <sheetData>
    <row r="1" spans="1:19" s="191" customFormat="1" ht="15.95" customHeight="1" x14ac:dyDescent="0.2">
      <c r="A1" s="118"/>
      <c r="B1" s="36"/>
      <c r="C1" s="36"/>
      <c r="D1" s="36"/>
      <c r="E1" s="385"/>
      <c r="F1" s="385"/>
      <c r="G1" s="404"/>
      <c r="I1" s="111"/>
      <c r="J1" s="228"/>
    </row>
    <row r="2" spans="1:19" s="191" customFormat="1" ht="15.95" customHeight="1" x14ac:dyDescent="0.2">
      <c r="A2" s="118" t="s">
        <v>128</v>
      </c>
      <c r="B2" s="36"/>
      <c r="C2" s="36"/>
      <c r="D2" s="36"/>
      <c r="E2" s="385"/>
      <c r="F2" s="385"/>
      <c r="G2" s="404"/>
      <c r="J2" s="228"/>
    </row>
    <row r="3" spans="1:19" s="191" customFormat="1" ht="15.95" customHeight="1" x14ac:dyDescent="0.2">
      <c r="A3" s="118" t="s">
        <v>129</v>
      </c>
      <c r="B3" s="36"/>
      <c r="C3" s="36"/>
      <c r="D3" s="36"/>
      <c r="E3" s="385"/>
      <c r="F3" s="385"/>
      <c r="G3" s="404"/>
      <c r="I3" s="110"/>
      <c r="J3" s="228"/>
    </row>
    <row r="4" spans="1:19" s="191" customFormat="1" ht="15.95" customHeight="1" x14ac:dyDescent="0.2">
      <c r="A4" s="118" t="s">
        <v>130</v>
      </c>
      <c r="B4" s="36"/>
      <c r="C4" s="36"/>
      <c r="D4" s="36"/>
      <c r="E4" s="385"/>
      <c r="F4" s="385"/>
      <c r="G4" s="404"/>
      <c r="J4" s="228"/>
    </row>
    <row r="5" spans="1:19" s="191" customFormat="1" ht="15.95" customHeight="1" x14ac:dyDescent="0.2">
      <c r="A5" s="118" t="s">
        <v>131</v>
      </c>
      <c r="B5" s="36"/>
      <c r="C5" s="36"/>
      <c r="D5" s="36"/>
      <c r="E5" s="385"/>
      <c r="F5" s="385"/>
      <c r="G5" s="404"/>
      <c r="J5" s="228"/>
    </row>
    <row r="6" spans="1:19" s="191" customFormat="1" ht="15.95" customHeight="1" x14ac:dyDescent="0.2">
      <c r="A6" s="118" t="s">
        <v>132</v>
      </c>
      <c r="B6" s="228"/>
      <c r="C6" s="228"/>
      <c r="D6" s="228"/>
      <c r="E6" s="42"/>
      <c r="F6" s="42"/>
      <c r="G6" s="385"/>
      <c r="J6" s="228"/>
    </row>
    <row r="7" spans="1:19" ht="16.5" customHeight="1" x14ac:dyDescent="0.2">
      <c r="A7" s="643" t="s">
        <v>528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355"/>
      <c r="O7" s="355"/>
      <c r="P7" s="355"/>
    </row>
    <row r="8" spans="1:19" ht="13.5" customHeight="1" x14ac:dyDescent="0.2">
      <c r="A8" s="658" t="s">
        <v>404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406"/>
      <c r="O8" s="406"/>
      <c r="P8" s="406"/>
    </row>
    <row r="9" spans="1:19" ht="20.100000000000001" customHeight="1" x14ac:dyDescent="0.2"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</row>
    <row r="10" spans="1:19" s="20" customFormat="1" ht="25.5" customHeight="1" x14ac:dyDescent="0.2">
      <c r="A10" s="669" t="s">
        <v>137</v>
      </c>
      <c r="B10" s="670"/>
      <c r="C10" s="670"/>
      <c r="D10" s="670"/>
      <c r="E10" s="671"/>
      <c r="F10" s="758" t="s">
        <v>134</v>
      </c>
      <c r="G10" s="761" t="s">
        <v>135</v>
      </c>
      <c r="H10" s="762"/>
      <c r="I10" s="763"/>
      <c r="J10" s="660" t="s">
        <v>136</v>
      </c>
      <c r="K10" s="669" t="s">
        <v>51</v>
      </c>
      <c r="L10" s="708"/>
      <c r="M10" s="709"/>
      <c r="N10" s="195"/>
      <c r="O10" s="106"/>
      <c r="P10" s="106"/>
    </row>
    <row r="11" spans="1:19" s="20" customFormat="1" ht="22.5" customHeight="1" x14ac:dyDescent="0.2">
      <c r="A11" s="666" t="s">
        <v>1</v>
      </c>
      <c r="B11" s="960"/>
      <c r="C11" s="960"/>
      <c r="D11" s="960"/>
      <c r="E11" s="668"/>
      <c r="F11" s="759"/>
      <c r="G11" s="660" t="s">
        <v>98</v>
      </c>
      <c r="H11" s="905" t="s">
        <v>125</v>
      </c>
      <c r="I11" s="660" t="s">
        <v>138</v>
      </c>
      <c r="J11" s="661"/>
      <c r="K11" s="710"/>
      <c r="L11" s="959"/>
      <c r="M11" s="712"/>
      <c r="N11" s="195"/>
      <c r="O11" s="195"/>
      <c r="P11" s="195"/>
    </row>
    <row r="12" spans="1:19" s="239" customFormat="1" ht="13.5" customHeight="1" x14ac:dyDescent="0.2">
      <c r="A12" s="230"/>
      <c r="B12" s="231"/>
      <c r="C12" s="231"/>
      <c r="D12" s="231"/>
      <c r="E12" s="232"/>
      <c r="F12" s="760"/>
      <c r="G12" s="672"/>
      <c r="H12" s="662"/>
      <c r="I12" s="662"/>
      <c r="J12" s="662"/>
      <c r="K12" s="710"/>
      <c r="L12" s="959"/>
      <c r="M12" s="712"/>
      <c r="N12" s="195"/>
      <c r="O12" s="195"/>
      <c r="P12" s="195"/>
    </row>
    <row r="13" spans="1:19" ht="21" customHeight="1" x14ac:dyDescent="0.2">
      <c r="A13" s="130"/>
      <c r="B13" s="555"/>
      <c r="C13" s="96"/>
      <c r="D13" s="129"/>
      <c r="E13" s="96"/>
      <c r="F13" s="95" t="s">
        <v>490</v>
      </c>
      <c r="G13" s="96">
        <v>1.1990000000000001</v>
      </c>
      <c r="H13" s="479"/>
      <c r="I13" s="480" t="s">
        <v>570</v>
      </c>
      <c r="J13" s="210"/>
      <c r="K13" s="713"/>
      <c r="L13" s="714"/>
      <c r="M13" s="715"/>
      <c r="N13" s="195"/>
      <c r="O13" s="195"/>
      <c r="P13" s="195"/>
    </row>
    <row r="14" spans="1:19" s="18" customFormat="1" ht="18" customHeight="1" x14ac:dyDescent="0.2">
      <c r="A14" s="545" t="s">
        <v>387</v>
      </c>
      <c r="B14" s="538"/>
      <c r="C14" s="557"/>
      <c r="D14" s="557"/>
      <c r="E14" s="557"/>
      <c r="F14" s="557"/>
      <c r="G14" s="558"/>
      <c r="H14" s="544"/>
      <c r="I14" s="542"/>
      <c r="J14" s="542"/>
      <c r="K14" s="126"/>
      <c r="L14" s="127"/>
      <c r="M14" s="84"/>
      <c r="N14" s="19"/>
      <c r="O14" s="19"/>
    </row>
    <row r="15" spans="1:19" s="18" customFormat="1" ht="19.5" customHeight="1" x14ac:dyDescent="0.2">
      <c r="A15" s="556" t="s">
        <v>393</v>
      </c>
      <c r="B15" s="409"/>
      <c r="C15" s="106"/>
      <c r="D15" s="106"/>
      <c r="E15" s="106"/>
      <c r="F15" s="106"/>
      <c r="G15" s="331"/>
      <c r="H15" s="386"/>
      <c r="I15" s="368"/>
      <c r="J15" s="368"/>
      <c r="K15" s="405"/>
      <c r="L15" s="19"/>
      <c r="M15" s="215"/>
      <c r="N15" s="537"/>
      <c r="O15" s="19"/>
    </row>
    <row r="16" spans="1:19" s="18" customFormat="1" ht="15" customHeight="1" x14ac:dyDescent="0.2">
      <c r="A16" s="108" t="s">
        <v>394</v>
      </c>
      <c r="B16" s="950" t="s">
        <v>388</v>
      </c>
      <c r="C16" s="951"/>
      <c r="D16" s="951"/>
      <c r="E16" s="952"/>
      <c r="F16" s="343" t="s">
        <v>392</v>
      </c>
      <c r="G16" s="407" t="s">
        <v>395</v>
      </c>
      <c r="H16" s="344">
        <v>3</v>
      </c>
      <c r="I16" s="345">
        <f>4000*1*G13</f>
        <v>4796</v>
      </c>
      <c r="J16" s="363">
        <f>H16*I16</f>
        <v>14388</v>
      </c>
      <c r="K16" s="332" t="s">
        <v>388</v>
      </c>
      <c r="L16" s="332"/>
      <c r="M16" s="559"/>
      <c r="N16" s="335"/>
      <c r="O16" s="243"/>
      <c r="P16" s="243"/>
      <c r="Q16" s="333"/>
      <c r="R16" s="334"/>
      <c r="S16" s="568"/>
    </row>
    <row r="17" spans="1:19" s="18" customFormat="1" ht="15" customHeight="1" x14ac:dyDescent="0.2">
      <c r="A17" s="108"/>
      <c r="B17" s="953"/>
      <c r="C17" s="954"/>
      <c r="D17" s="954"/>
      <c r="E17" s="955"/>
      <c r="F17" s="342"/>
      <c r="G17" s="342"/>
      <c r="H17" s="386"/>
      <c r="I17" s="368"/>
      <c r="J17" s="368"/>
      <c r="K17" s="346" t="s">
        <v>389</v>
      </c>
      <c r="L17" s="335"/>
      <c r="M17" s="560" t="s">
        <v>529</v>
      </c>
      <c r="N17" s="335"/>
      <c r="O17" s="243"/>
      <c r="P17" s="243"/>
      <c r="Q17" s="333"/>
      <c r="R17" s="334"/>
      <c r="S17" s="568"/>
    </row>
    <row r="18" spans="1:19" s="18" customFormat="1" ht="15" customHeight="1" x14ac:dyDescent="0.2">
      <c r="A18" s="108"/>
      <c r="B18" s="953"/>
      <c r="C18" s="954"/>
      <c r="D18" s="954"/>
      <c r="E18" s="955"/>
      <c r="F18" s="342"/>
      <c r="G18" s="342"/>
      <c r="H18" s="386"/>
      <c r="I18" s="368"/>
      <c r="J18" s="368"/>
      <c r="K18" s="335" t="s">
        <v>390</v>
      </c>
      <c r="L18" s="561"/>
      <c r="M18" s="562" t="s">
        <v>397</v>
      </c>
      <c r="N18" s="335"/>
      <c r="O18" s="243"/>
      <c r="P18" s="243"/>
      <c r="Q18" s="258"/>
      <c r="R18" s="336"/>
      <c r="S18" s="569"/>
    </row>
    <row r="19" spans="1:19" s="18" customFormat="1" ht="15" customHeight="1" x14ac:dyDescent="0.2">
      <c r="A19" s="108"/>
      <c r="B19" s="953"/>
      <c r="C19" s="954"/>
      <c r="D19" s="954"/>
      <c r="E19" s="955"/>
      <c r="F19" s="342"/>
      <c r="G19" s="342"/>
      <c r="H19" s="386"/>
      <c r="I19" s="368"/>
      <c r="J19" s="368"/>
      <c r="K19" s="335" t="s">
        <v>398</v>
      </c>
      <c r="L19" s="561"/>
      <c r="M19" s="563"/>
      <c r="N19" s="534"/>
      <c r="O19" s="243"/>
      <c r="P19" s="243"/>
      <c r="Q19" s="333"/>
      <c r="R19" s="334"/>
      <c r="S19" s="568"/>
    </row>
    <row r="20" spans="1:19" s="18" customFormat="1" ht="15" customHeight="1" x14ac:dyDescent="0.2">
      <c r="A20" s="108"/>
      <c r="B20" s="953"/>
      <c r="C20" s="954"/>
      <c r="D20" s="954"/>
      <c r="E20" s="955"/>
      <c r="F20" s="342"/>
      <c r="G20" s="342"/>
      <c r="H20" s="386"/>
      <c r="I20" s="368"/>
      <c r="J20" s="368"/>
      <c r="K20" s="335" t="s">
        <v>399</v>
      </c>
      <c r="L20" s="561"/>
      <c r="M20" s="563"/>
      <c r="N20" s="534"/>
      <c r="O20" s="243"/>
      <c r="P20" s="243"/>
      <c r="Q20" s="333"/>
      <c r="R20" s="334"/>
      <c r="S20" s="568"/>
    </row>
    <row r="21" spans="1:19" s="18" customFormat="1" ht="15" customHeight="1" x14ac:dyDescent="0.2">
      <c r="A21" s="108"/>
      <c r="B21" s="953"/>
      <c r="C21" s="954"/>
      <c r="D21" s="954"/>
      <c r="E21" s="955"/>
      <c r="F21" s="342"/>
      <c r="G21" s="342"/>
      <c r="H21" s="386"/>
      <c r="I21" s="368"/>
      <c r="J21" s="368"/>
      <c r="K21" s="335" t="s">
        <v>391</v>
      </c>
      <c r="L21" s="335"/>
      <c r="M21" s="560"/>
      <c r="N21" s="335"/>
      <c r="O21" s="243"/>
      <c r="P21" s="243"/>
      <c r="Q21" s="333"/>
      <c r="R21" s="334"/>
      <c r="S21" s="568"/>
    </row>
    <row r="22" spans="1:19" s="18" customFormat="1" ht="15" customHeight="1" x14ac:dyDescent="0.2">
      <c r="A22" s="108"/>
      <c r="B22" s="953"/>
      <c r="C22" s="954"/>
      <c r="D22" s="954"/>
      <c r="E22" s="955"/>
      <c r="F22" s="342"/>
      <c r="G22" s="342"/>
      <c r="H22" s="386"/>
      <c r="I22" s="368"/>
      <c r="J22" s="368"/>
      <c r="K22" s="337" t="s">
        <v>400</v>
      </c>
      <c r="L22" s="564"/>
      <c r="M22" s="565" t="s">
        <v>401</v>
      </c>
      <c r="N22" s="570"/>
      <c r="O22" s="90"/>
      <c r="P22" s="25"/>
      <c r="Q22" s="25"/>
      <c r="R22" s="25"/>
      <c r="S22" s="571"/>
    </row>
    <row r="23" spans="1:19" s="18" customFormat="1" ht="15" customHeight="1" x14ac:dyDescent="0.2">
      <c r="A23" s="108"/>
      <c r="B23" s="956"/>
      <c r="C23" s="957"/>
      <c r="D23" s="957"/>
      <c r="E23" s="958"/>
      <c r="F23" s="342"/>
      <c r="G23" s="342"/>
      <c r="H23" s="386"/>
      <c r="I23" s="368"/>
      <c r="J23" s="368"/>
      <c r="K23" s="337" t="s">
        <v>402</v>
      </c>
      <c r="L23" s="566"/>
      <c r="M23" s="567" t="s">
        <v>403</v>
      </c>
      <c r="Q23" s="25"/>
      <c r="R23" s="25"/>
      <c r="S23" s="571"/>
    </row>
    <row r="24" spans="1:19" s="18" customFormat="1" ht="25.5" customHeight="1" x14ac:dyDescent="0.2">
      <c r="A24" s="543"/>
      <c r="B24" s="328" t="s">
        <v>396</v>
      </c>
      <c r="C24" s="213"/>
      <c r="D24" s="213"/>
      <c r="E24" s="213"/>
      <c r="F24" s="213"/>
      <c r="G24" s="543"/>
      <c r="H24" s="544"/>
      <c r="I24" s="542"/>
      <c r="J24" s="542">
        <f>J16*0.7</f>
        <v>10071.599999999999</v>
      </c>
      <c r="K24" s="696" t="s">
        <v>530</v>
      </c>
      <c r="L24" s="697"/>
      <c r="M24" s="698"/>
      <c r="N24" s="537"/>
      <c r="O24" s="19"/>
    </row>
    <row r="25" spans="1:19" s="18" customFormat="1" ht="15" customHeight="1" x14ac:dyDescent="0.2">
      <c r="A25" s="543"/>
      <c r="B25" s="775"/>
      <c r="C25" s="776"/>
      <c r="D25" s="776"/>
      <c r="E25" s="776"/>
      <c r="F25" s="777"/>
      <c r="G25" s="543"/>
      <c r="H25" s="544"/>
      <c r="I25" s="71"/>
      <c r="J25" s="542"/>
      <c r="K25" s="542"/>
      <c r="L25" s="542"/>
      <c r="M25" s="542"/>
      <c r="N25" s="537"/>
      <c r="O25" s="19"/>
    </row>
    <row r="26" spans="1:19" s="533" customFormat="1" ht="13.5" x14ac:dyDescent="0.25">
      <c r="A26" s="524" t="s">
        <v>493</v>
      </c>
      <c r="C26" s="525"/>
      <c r="D26" s="525"/>
      <c r="E26" s="525"/>
      <c r="F26" s="526"/>
      <c r="G26" s="527"/>
      <c r="H26" s="512"/>
      <c r="I26" s="513"/>
      <c r="J26" s="530">
        <f>J16</f>
        <v>14388</v>
      </c>
      <c r="K26" s="447"/>
      <c r="L26" s="447"/>
      <c r="M26" s="447"/>
    </row>
    <row r="27" spans="1:19" s="533" customFormat="1" x14ac:dyDescent="0.2">
      <c r="A27" s="516"/>
      <c r="B27" s="517"/>
      <c r="C27" s="518"/>
      <c r="D27" s="518"/>
      <c r="E27" s="519"/>
      <c r="F27" s="520"/>
      <c r="G27" s="521"/>
      <c r="H27" s="522"/>
      <c r="I27" s="522"/>
      <c r="J27" s="523"/>
      <c r="K27" s="447"/>
      <c r="L27" s="447"/>
      <c r="M27" s="447"/>
    </row>
    <row r="28" spans="1:19" s="533" customFormat="1" ht="13.5" x14ac:dyDescent="0.25">
      <c r="A28" s="509" t="s">
        <v>495</v>
      </c>
      <c r="C28" s="510"/>
      <c r="D28" s="510"/>
      <c r="E28" s="510"/>
      <c r="F28" s="511"/>
      <c r="G28" s="481"/>
      <c r="H28" s="522"/>
      <c r="I28" s="531"/>
      <c r="J28" s="532">
        <f>J24</f>
        <v>10071.599999999999</v>
      </c>
      <c r="K28" s="447"/>
      <c r="L28" s="447"/>
      <c r="M28" s="447"/>
    </row>
    <row r="29" spans="1:19" ht="15" customHeight="1" x14ac:dyDescent="0.2">
      <c r="A29" s="683"/>
      <c r="B29" s="683"/>
      <c r="C29" s="683"/>
      <c r="D29" s="683"/>
      <c r="E29" s="683"/>
      <c r="F29" s="373"/>
      <c r="G29" s="356"/>
      <c r="H29" s="3"/>
      <c r="K29" s="239"/>
      <c r="L29" s="239"/>
      <c r="M29" s="239"/>
      <c r="N29" s="356"/>
    </row>
    <row r="30" spans="1:19" ht="15" customHeight="1" x14ac:dyDescent="0.2">
      <c r="A30" s="682"/>
      <c r="B30" s="682"/>
      <c r="C30" s="682"/>
      <c r="D30" s="682"/>
      <c r="E30" s="682"/>
      <c r="F30" s="374"/>
      <c r="G30" s="373"/>
      <c r="H30" s="683"/>
      <c r="I30" s="683"/>
      <c r="J30" s="683"/>
      <c r="K30" s="683"/>
      <c r="L30" s="224"/>
      <c r="M30" s="373"/>
      <c r="N30" s="356"/>
    </row>
    <row r="31" spans="1:19" ht="12.75" customHeight="1" x14ac:dyDescent="0.2">
      <c r="A31" s="374"/>
      <c r="B31" s="374"/>
      <c r="C31" s="374"/>
      <c r="D31" s="374"/>
      <c r="E31" s="374"/>
      <c r="F31" s="374"/>
      <c r="G31" s="373"/>
      <c r="H31" s="683"/>
      <c r="I31" s="683"/>
      <c r="J31" s="683"/>
      <c r="K31" s="683"/>
      <c r="L31" s="224"/>
      <c r="M31" s="142"/>
      <c r="N31" s="356"/>
    </row>
    <row r="32" spans="1:19" ht="13.5" x14ac:dyDescent="0.2">
      <c r="B32" s="766"/>
      <c r="C32" s="766"/>
      <c r="D32" s="767"/>
      <c r="E32" s="768"/>
      <c r="F32" s="26"/>
      <c r="G32" s="374"/>
      <c r="H32" s="682"/>
      <c r="I32" s="682"/>
      <c r="J32" s="682"/>
      <c r="K32" s="682"/>
      <c r="L32" s="225"/>
      <c r="M32" s="374"/>
      <c r="N32" s="356"/>
    </row>
    <row r="33" spans="1:14" ht="13.5" x14ac:dyDescent="0.2">
      <c r="B33" s="659"/>
      <c r="C33" s="659"/>
      <c r="D33" s="659"/>
      <c r="E33" s="659"/>
      <c r="F33" s="26"/>
      <c r="G33" s="374"/>
      <c r="H33" s="374"/>
      <c r="I33" s="374"/>
      <c r="J33" s="374"/>
      <c r="K33" s="374"/>
      <c r="L33" s="225"/>
      <c r="M33" s="374"/>
      <c r="N33" s="356"/>
    </row>
    <row r="34" spans="1:14" x14ac:dyDescent="0.2">
      <c r="B34" s="371"/>
      <c r="C34" s="371"/>
      <c r="D34" s="371"/>
      <c r="F34" s="26"/>
      <c r="G34" s="26"/>
      <c r="H34" s="356"/>
      <c r="I34" s="659"/>
      <c r="J34" s="659"/>
      <c r="K34" s="356"/>
      <c r="L34" s="239"/>
      <c r="M34" s="5"/>
      <c r="N34" s="356"/>
    </row>
    <row r="35" spans="1:14" x14ac:dyDescent="0.2">
      <c r="B35" s="371"/>
      <c r="C35" s="371"/>
      <c r="D35" s="371"/>
      <c r="F35" s="26"/>
      <c r="G35" s="26"/>
      <c r="H35" s="356"/>
      <c r="I35" s="659"/>
      <c r="J35" s="659"/>
      <c r="K35" s="770"/>
      <c r="L35" s="239"/>
      <c r="M35" s="5"/>
      <c r="N35" s="239"/>
    </row>
    <row r="36" spans="1:14" x14ac:dyDescent="0.2">
      <c r="B36" s="659"/>
      <c r="C36" s="659"/>
      <c r="D36" s="769"/>
      <c r="E36" s="769"/>
      <c r="F36" s="26"/>
      <c r="G36" s="26"/>
      <c r="H36" s="371"/>
      <c r="I36" s="371"/>
      <c r="J36" s="371"/>
      <c r="K36" s="371"/>
      <c r="L36" s="239"/>
      <c r="M36" s="2"/>
      <c r="N36" s="356"/>
    </row>
    <row r="37" spans="1:14" x14ac:dyDescent="0.2">
      <c r="B37" s="356"/>
      <c r="C37" s="356"/>
      <c r="D37" s="370"/>
      <c r="E37" s="370"/>
      <c r="F37" s="26"/>
      <c r="G37" s="26"/>
      <c r="H37" s="371"/>
      <c r="I37" s="371"/>
      <c r="J37" s="371"/>
      <c r="K37" s="371"/>
      <c r="L37" s="239"/>
      <c r="M37" s="2"/>
      <c r="N37" s="356"/>
    </row>
    <row r="38" spans="1:14" x14ac:dyDescent="0.2">
      <c r="B38" s="356"/>
      <c r="C38" s="356"/>
      <c r="D38" s="371"/>
      <c r="E38" s="371"/>
      <c r="F38" s="356"/>
      <c r="G38" s="26"/>
      <c r="H38" s="356"/>
      <c r="I38" s="659"/>
      <c r="J38" s="659"/>
      <c r="K38" s="659"/>
      <c r="L38" s="239"/>
      <c r="M38" s="2"/>
      <c r="N38" s="356"/>
    </row>
    <row r="39" spans="1:14" x14ac:dyDescent="0.2">
      <c r="A39" s="43"/>
      <c r="B39" s="43"/>
      <c r="C39" s="43"/>
      <c r="D39" s="43"/>
      <c r="E39" s="43"/>
      <c r="F39" s="43"/>
      <c r="G39" s="26"/>
      <c r="H39" s="356"/>
      <c r="I39" s="356"/>
      <c r="J39" s="356"/>
      <c r="K39" s="356"/>
      <c r="L39" s="239"/>
      <c r="M39" s="2"/>
      <c r="N39" s="402"/>
    </row>
    <row r="40" spans="1:14" x14ac:dyDescent="0.2">
      <c r="C40" s="356"/>
      <c r="D40" s="356"/>
      <c r="E40" s="356"/>
      <c r="F40" s="362"/>
      <c r="G40" s="371"/>
      <c r="H40" s="371"/>
      <c r="I40" s="371"/>
      <c r="J40" s="371"/>
      <c r="K40" s="371"/>
      <c r="L40" s="371"/>
      <c r="M40" s="4"/>
    </row>
    <row r="41" spans="1:14" x14ac:dyDescent="0.2">
      <c r="B41" s="356"/>
      <c r="C41" s="356"/>
      <c r="D41" s="356"/>
      <c r="E41" s="356"/>
      <c r="F41" s="26"/>
      <c r="G41" s="43"/>
      <c r="H41" s="43"/>
      <c r="I41" s="43"/>
      <c r="J41" s="43"/>
      <c r="K41" s="43"/>
      <c r="L41" s="43"/>
      <c r="M41" s="43"/>
      <c r="N41" s="354"/>
    </row>
    <row r="42" spans="1:14" x14ac:dyDescent="0.2">
      <c r="G42" s="362"/>
      <c r="H42" s="362"/>
      <c r="I42" s="362"/>
      <c r="J42" s="362"/>
      <c r="K42" s="356"/>
      <c r="L42" s="356"/>
      <c r="M42" s="356"/>
      <c r="N42" s="354"/>
    </row>
    <row r="43" spans="1:14" x14ac:dyDescent="0.2">
      <c r="G43" s="356"/>
      <c r="H43" s="356"/>
      <c r="I43" s="356"/>
      <c r="J43" s="356"/>
      <c r="K43" s="356"/>
      <c r="L43" s="371"/>
      <c r="M43" s="356"/>
    </row>
  </sheetData>
  <mergeCells count="30">
    <mergeCell ref="A30:B30"/>
    <mergeCell ref="C30:E30"/>
    <mergeCell ref="H30:I30"/>
    <mergeCell ref="J30:K30"/>
    <mergeCell ref="H31:I31"/>
    <mergeCell ref="J31:K31"/>
    <mergeCell ref="B36:E36"/>
    <mergeCell ref="I38:K38"/>
    <mergeCell ref="B32:E32"/>
    <mergeCell ref="H32:I32"/>
    <mergeCell ref="J32:K32"/>
    <mergeCell ref="B33:E33"/>
    <mergeCell ref="I34:J34"/>
    <mergeCell ref="I35:K35"/>
    <mergeCell ref="B16:E23"/>
    <mergeCell ref="B25:F25"/>
    <mergeCell ref="A29:B29"/>
    <mergeCell ref="C29:E29"/>
    <mergeCell ref="A7:M7"/>
    <mergeCell ref="A8:M8"/>
    <mergeCell ref="A10:E10"/>
    <mergeCell ref="F10:F12"/>
    <mergeCell ref="G10:I10"/>
    <mergeCell ref="J10:J12"/>
    <mergeCell ref="K10:M13"/>
    <mergeCell ref="A11:E11"/>
    <mergeCell ref="G11:G12"/>
    <mergeCell ref="I11:I12"/>
    <mergeCell ref="H11:H12"/>
    <mergeCell ref="K24:M2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view="pageBreakPreview" zoomScaleNormal="100" zoomScaleSheetLayoutView="100" workbookViewId="0">
      <selection activeCell="M17" sqref="M17"/>
    </sheetView>
  </sheetViews>
  <sheetFormatPr defaultColWidth="9.140625" defaultRowHeight="12.75" x14ac:dyDescent="0.2"/>
  <cols>
    <col min="1" max="1" width="3.85546875" style="35" customWidth="1"/>
    <col min="2" max="2" width="5.85546875" style="26" customWidth="1"/>
    <col min="3" max="3" width="4" style="26" customWidth="1"/>
    <col min="4" max="4" width="3.28515625" style="26" customWidth="1"/>
    <col min="5" max="5" width="6" style="26" customWidth="1"/>
    <col min="6" max="6" width="5.42578125" style="34" customWidth="1"/>
    <col min="7" max="7" width="7.42578125" style="35" customWidth="1"/>
    <col min="8" max="8" width="5.85546875" style="26" customWidth="1"/>
    <col min="9" max="9" width="10.140625" style="26" customWidth="1"/>
    <col min="10" max="10" width="8.140625" style="26" customWidth="1"/>
    <col min="11" max="11" width="4.140625" style="26" customWidth="1"/>
    <col min="12" max="12" width="9.140625" style="26" customWidth="1"/>
    <col min="13" max="13" width="22.5703125" style="26" customWidth="1"/>
    <col min="14" max="14" width="11.85546875" style="26" customWidth="1"/>
    <col min="15" max="15" width="13.5703125" style="26" customWidth="1"/>
    <col min="16" max="16" width="9.140625" style="26"/>
    <col min="17" max="17" width="13.7109375" style="26" customWidth="1"/>
    <col min="18" max="16384" width="9.140625" style="26"/>
  </cols>
  <sheetData>
    <row r="1" spans="1:25" s="191" customFormat="1" ht="15.95" customHeight="1" x14ac:dyDescent="0.2">
      <c r="A1" s="118"/>
      <c r="B1" s="36"/>
      <c r="C1" s="36"/>
      <c r="D1" s="36"/>
      <c r="E1" s="385"/>
      <c r="F1" s="385"/>
      <c r="G1" s="404"/>
      <c r="I1" s="111"/>
      <c r="J1" s="228"/>
    </row>
    <row r="2" spans="1:25" s="191" customFormat="1" ht="15.95" customHeight="1" x14ac:dyDescent="0.2">
      <c r="A2" s="118" t="s">
        <v>128</v>
      </c>
      <c r="B2" s="36"/>
      <c r="C2" s="36"/>
      <c r="D2" s="36"/>
      <c r="E2" s="385"/>
      <c r="F2" s="385"/>
      <c r="G2" s="404"/>
      <c r="J2" s="228"/>
    </row>
    <row r="3" spans="1:25" s="191" customFormat="1" ht="15.95" customHeight="1" x14ac:dyDescent="0.2">
      <c r="A3" s="118" t="s">
        <v>129</v>
      </c>
      <c r="B3" s="36"/>
      <c r="C3" s="36"/>
      <c r="D3" s="36"/>
      <c r="E3" s="385"/>
      <c r="F3" s="385"/>
      <c r="G3" s="404"/>
      <c r="I3" s="110"/>
      <c r="J3" s="228"/>
    </row>
    <row r="4" spans="1:25" s="191" customFormat="1" ht="15.95" customHeight="1" x14ac:dyDescent="0.2">
      <c r="A4" s="118" t="s">
        <v>130</v>
      </c>
      <c r="B4" s="36"/>
      <c r="C4" s="36"/>
      <c r="D4" s="36"/>
      <c r="E4" s="385"/>
      <c r="F4" s="385"/>
      <c r="G4" s="404"/>
      <c r="J4" s="228"/>
    </row>
    <row r="5" spans="1:25" s="191" customFormat="1" ht="15.95" customHeight="1" x14ac:dyDescent="0.2">
      <c r="A5" s="118" t="s">
        <v>131</v>
      </c>
      <c r="B5" s="36"/>
      <c r="C5" s="36"/>
      <c r="D5" s="36"/>
      <c r="E5" s="385"/>
      <c r="F5" s="385"/>
      <c r="G5" s="404"/>
      <c r="J5" s="228"/>
    </row>
    <row r="6" spans="1:25" s="191" customFormat="1" ht="15.95" customHeight="1" x14ac:dyDescent="0.2">
      <c r="A6" s="118" t="s">
        <v>132</v>
      </c>
      <c r="B6" s="228"/>
      <c r="C6" s="228"/>
      <c r="D6" s="228"/>
      <c r="E6" s="42"/>
      <c r="F6" s="42"/>
      <c r="G6" s="385"/>
      <c r="J6" s="228"/>
    </row>
    <row r="7" spans="1:25" ht="16.5" customHeight="1" x14ac:dyDescent="0.2">
      <c r="A7" s="643" t="s">
        <v>531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355"/>
      <c r="O7" s="355"/>
      <c r="P7" s="355"/>
    </row>
    <row r="8" spans="1:25" ht="13.5" customHeight="1" x14ac:dyDescent="0.2">
      <c r="A8" s="658" t="s">
        <v>404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406"/>
      <c r="O8" s="406"/>
      <c r="P8" s="406"/>
    </row>
    <row r="9" spans="1:25" ht="20.100000000000001" customHeight="1" x14ac:dyDescent="0.2"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</row>
    <row r="10" spans="1:25" s="20" customFormat="1" ht="25.5" customHeight="1" x14ac:dyDescent="0.2">
      <c r="A10" s="669" t="s">
        <v>137</v>
      </c>
      <c r="B10" s="670"/>
      <c r="C10" s="670"/>
      <c r="D10" s="670"/>
      <c r="E10" s="671"/>
      <c r="F10" s="758" t="s">
        <v>134</v>
      </c>
      <c r="G10" s="761" t="s">
        <v>135</v>
      </c>
      <c r="H10" s="762"/>
      <c r="I10" s="763"/>
      <c r="J10" s="660" t="s">
        <v>136</v>
      </c>
      <c r="K10" s="669" t="s">
        <v>51</v>
      </c>
      <c r="L10" s="708"/>
      <c r="M10" s="709"/>
      <c r="N10" s="195"/>
      <c r="O10" s="106"/>
      <c r="P10" s="106"/>
    </row>
    <row r="11" spans="1:25" s="20" customFormat="1" ht="22.5" customHeight="1" x14ac:dyDescent="0.2">
      <c r="A11" s="666" t="s">
        <v>1</v>
      </c>
      <c r="B11" s="667"/>
      <c r="C11" s="667"/>
      <c r="D11" s="667"/>
      <c r="E11" s="668"/>
      <c r="F11" s="759"/>
      <c r="G11" s="660" t="s">
        <v>98</v>
      </c>
      <c r="H11" s="905" t="s">
        <v>125</v>
      </c>
      <c r="I11" s="660" t="s">
        <v>138</v>
      </c>
      <c r="J11" s="661"/>
      <c r="K11" s="710"/>
      <c r="L11" s="711"/>
      <c r="M11" s="712"/>
      <c r="N11" s="195"/>
      <c r="O11" s="195"/>
      <c r="P11" s="195"/>
    </row>
    <row r="12" spans="1:25" s="239" customFormat="1" ht="13.5" customHeight="1" x14ac:dyDescent="0.2">
      <c r="A12" s="230"/>
      <c r="B12" s="231"/>
      <c r="C12" s="231"/>
      <c r="D12" s="231"/>
      <c r="E12" s="232"/>
      <c r="F12" s="760"/>
      <c r="G12" s="672"/>
      <c r="H12" s="662"/>
      <c r="I12" s="662"/>
      <c r="J12" s="662"/>
      <c r="K12" s="710"/>
      <c r="L12" s="711"/>
      <c r="M12" s="712"/>
      <c r="N12" s="195"/>
      <c r="O12" s="195"/>
      <c r="P12" s="195"/>
    </row>
    <row r="13" spans="1:25" ht="21" customHeight="1" thickBot="1" x14ac:dyDescent="0.25">
      <c r="A13" s="130"/>
      <c r="B13" s="20"/>
      <c r="C13" s="96"/>
      <c r="D13" s="129"/>
      <c r="E13" s="96"/>
      <c r="F13" s="95" t="s">
        <v>490</v>
      </c>
      <c r="G13" s="96">
        <v>1.1990000000000001</v>
      </c>
      <c r="H13" s="479"/>
      <c r="I13" s="480" t="s">
        <v>570</v>
      </c>
      <c r="J13" s="210"/>
      <c r="K13" s="713"/>
      <c r="L13" s="714"/>
      <c r="M13" s="715"/>
      <c r="N13" s="195"/>
      <c r="O13" s="195"/>
      <c r="P13" s="195"/>
    </row>
    <row r="14" spans="1:25" ht="56.25" customHeight="1" thickTop="1" x14ac:dyDescent="0.2">
      <c r="A14" s="339"/>
      <c r="B14" s="961" t="s">
        <v>532</v>
      </c>
      <c r="C14" s="961"/>
      <c r="D14" s="961"/>
      <c r="E14" s="961"/>
      <c r="F14" s="961"/>
      <c r="G14" s="339"/>
      <c r="H14" s="340"/>
      <c r="I14" s="289"/>
      <c r="J14" s="289"/>
      <c r="K14" s="573" t="s">
        <v>46</v>
      </c>
      <c r="L14" s="574">
        <v>0.4</v>
      </c>
      <c r="M14" s="575" t="s">
        <v>88</v>
      </c>
      <c r="N14" s="128"/>
      <c r="P14" s="243"/>
      <c r="Q14" s="962" t="s">
        <v>165</v>
      </c>
      <c r="R14" s="962"/>
      <c r="S14" s="962"/>
      <c r="T14" s="962"/>
      <c r="U14" s="962"/>
      <c r="V14" s="962"/>
      <c r="W14" s="962"/>
      <c r="X14" s="256"/>
      <c r="Y14" s="257"/>
    </row>
    <row r="15" spans="1:25" ht="15" customHeight="1" x14ac:dyDescent="0.2">
      <c r="A15" s="394" t="s">
        <v>533</v>
      </c>
      <c r="B15" s="219" t="s">
        <v>87</v>
      </c>
      <c r="C15" s="125"/>
      <c r="D15" s="125"/>
      <c r="E15" s="125"/>
      <c r="F15" s="220" t="s">
        <v>180</v>
      </c>
      <c r="G15" s="394" t="s">
        <v>5</v>
      </c>
      <c r="H15" s="396">
        <v>1</v>
      </c>
      <c r="I15" s="392">
        <f>L16*L17%</f>
        <v>3182.3617057826964</v>
      </c>
      <c r="J15" s="221">
        <f>I15</f>
        <v>3182.3617057826964</v>
      </c>
      <c r="K15" s="576" t="s">
        <v>89</v>
      </c>
      <c r="L15" s="572">
        <v>8</v>
      </c>
      <c r="M15" s="577" t="s">
        <v>88</v>
      </c>
      <c r="N15" s="128"/>
      <c r="P15" s="258"/>
      <c r="Q15" s="243" t="s">
        <v>166</v>
      </c>
      <c r="R15" s="243"/>
      <c r="S15" s="258"/>
      <c r="T15" s="258"/>
      <c r="U15" s="258"/>
      <c r="V15" s="258"/>
      <c r="W15" s="243"/>
      <c r="X15" s="259"/>
      <c r="Y15" s="257"/>
    </row>
    <row r="16" spans="1:25" ht="27" customHeight="1" x14ac:dyDescent="0.2">
      <c r="A16" s="394"/>
      <c r="B16" s="775" t="s">
        <v>97</v>
      </c>
      <c r="C16" s="776"/>
      <c r="D16" s="776"/>
      <c r="E16" s="776"/>
      <c r="F16" s="777"/>
      <c r="G16" s="125"/>
      <c r="H16" s="125"/>
      <c r="I16" s="125"/>
      <c r="J16" s="221">
        <f>J15</f>
        <v>3182.3617057826964</v>
      </c>
      <c r="K16" s="578" t="s">
        <v>164</v>
      </c>
      <c r="L16" s="572">
        <f>N19</f>
        <v>281624.92971528287</v>
      </c>
      <c r="M16" s="579" t="s">
        <v>444</v>
      </c>
      <c r="N16" s="248"/>
      <c r="P16" s="258"/>
      <c r="Q16" s="260" t="s">
        <v>167</v>
      </c>
      <c r="R16" s="243">
        <v>0.4</v>
      </c>
      <c r="S16" s="258"/>
      <c r="T16" s="258"/>
      <c r="U16" s="258"/>
      <c r="V16" s="258"/>
      <c r="W16" s="243"/>
      <c r="X16" s="259"/>
      <c r="Y16" s="257"/>
    </row>
    <row r="17" spans="1:25" ht="27" customHeight="1" x14ac:dyDescent="0.2">
      <c r="A17" s="394"/>
      <c r="B17" s="775"/>
      <c r="C17" s="948"/>
      <c r="D17" s="948"/>
      <c r="E17" s="948"/>
      <c r="F17" s="949"/>
      <c r="G17" s="213"/>
      <c r="H17" s="393"/>
      <c r="I17" s="392"/>
      <c r="J17" s="392"/>
      <c r="K17" s="576" t="s">
        <v>90</v>
      </c>
      <c r="L17" s="572">
        <f>ROUND(0.4+(8/((L16/(175*G13))^(1/3))),2)</f>
        <v>1.1299999999999999</v>
      </c>
      <c r="M17" s="579" t="s">
        <v>91</v>
      </c>
      <c r="N17" s="248"/>
      <c r="P17" s="258"/>
      <c r="Q17" s="260" t="s">
        <v>168</v>
      </c>
      <c r="R17" s="243">
        <v>8</v>
      </c>
      <c r="S17" s="258"/>
      <c r="T17" s="258"/>
      <c r="U17" s="258"/>
      <c r="V17" s="258"/>
      <c r="W17" s="258"/>
      <c r="X17" s="259"/>
      <c r="Y17" s="257"/>
    </row>
    <row r="18" spans="1:25" ht="15" customHeight="1" thickBot="1" x14ac:dyDescent="0.25">
      <c r="A18" s="222"/>
      <c r="B18" s="654" t="s">
        <v>92</v>
      </c>
      <c r="C18" s="963"/>
      <c r="D18" s="963"/>
      <c r="E18" s="963"/>
      <c r="F18" s="963"/>
      <c r="G18" s="223"/>
      <c r="H18" s="131"/>
      <c r="I18" s="132"/>
      <c r="J18" s="133">
        <f>J15+J17</f>
        <v>3182.3617057826964</v>
      </c>
      <c r="K18" s="964" t="s">
        <v>443</v>
      </c>
      <c r="L18" s="965"/>
      <c r="M18" s="966"/>
      <c r="N18" s="128"/>
      <c r="P18" s="258"/>
      <c r="Q18" s="260"/>
      <c r="R18" s="243"/>
      <c r="S18" s="258"/>
      <c r="T18" s="260"/>
      <c r="U18" s="243"/>
      <c r="V18" s="258"/>
      <c r="W18" s="258"/>
      <c r="X18" s="259"/>
      <c r="Y18" s="257"/>
    </row>
    <row r="19" spans="1:25" ht="15" customHeight="1" thickTop="1" x14ac:dyDescent="0.2">
      <c r="F19" s="26"/>
      <c r="G19" s="26"/>
      <c r="K19" s="128"/>
      <c r="L19" s="128"/>
      <c r="M19" s="128"/>
      <c r="N19" s="280">
        <f>SYNOPTIKOS_PINAKAS!J22</f>
        <v>281624.92971528287</v>
      </c>
      <c r="P19" s="258"/>
      <c r="Q19" s="243"/>
      <c r="R19" s="258"/>
      <c r="S19" s="258"/>
      <c r="T19" s="258"/>
      <c r="U19" s="258"/>
      <c r="V19" s="258"/>
      <c r="W19" s="258"/>
      <c r="X19" s="259"/>
      <c r="Y19" s="257"/>
    </row>
    <row r="20" spans="1:25" ht="15" customHeight="1" x14ac:dyDescent="0.2">
      <c r="F20" s="26"/>
      <c r="G20" s="26"/>
      <c r="K20" s="128"/>
      <c r="L20" s="128"/>
      <c r="M20" s="128"/>
      <c r="N20" s="249"/>
      <c r="P20" s="258"/>
      <c r="Q20" s="243"/>
      <c r="R20" s="258"/>
      <c r="S20" s="258"/>
      <c r="T20" s="258"/>
      <c r="U20" s="258"/>
      <c r="V20" s="258"/>
      <c r="W20" s="258"/>
      <c r="X20" s="259"/>
      <c r="Y20" s="257"/>
    </row>
    <row r="21" spans="1:25" ht="15" customHeight="1" x14ac:dyDescent="0.2">
      <c r="A21" s="281"/>
      <c r="F21" s="26"/>
      <c r="G21" s="26"/>
      <c r="K21" s="128"/>
      <c r="L21" s="128"/>
      <c r="M21" s="128"/>
      <c r="N21" s="249"/>
      <c r="P21" s="258"/>
      <c r="Q21" s="243"/>
      <c r="R21" s="258"/>
      <c r="S21" s="258"/>
      <c r="T21" s="258"/>
      <c r="U21" s="258"/>
      <c r="V21" s="258"/>
      <c r="W21" s="258"/>
      <c r="X21" s="259"/>
      <c r="Y21" s="257"/>
    </row>
    <row r="22" spans="1:25" ht="15" customHeight="1" x14ac:dyDescent="0.2">
      <c r="A22" s="683"/>
      <c r="B22" s="683"/>
      <c r="C22" s="683"/>
      <c r="D22" s="683"/>
      <c r="E22" s="683"/>
      <c r="F22" s="373"/>
      <c r="G22" s="356"/>
      <c r="H22" s="3"/>
      <c r="K22" s="239"/>
      <c r="L22" s="239"/>
      <c r="M22" s="239"/>
      <c r="N22" s="356"/>
    </row>
    <row r="23" spans="1:25" ht="15" customHeight="1" x14ac:dyDescent="0.2">
      <c r="A23" s="682"/>
      <c r="B23" s="682"/>
      <c r="C23" s="682"/>
      <c r="D23" s="682"/>
      <c r="E23" s="682"/>
      <c r="F23" s="374"/>
      <c r="G23" s="373"/>
      <c r="H23" s="683"/>
      <c r="I23" s="683"/>
      <c r="J23" s="683"/>
      <c r="K23" s="683"/>
      <c r="L23" s="224"/>
      <c r="M23" s="373"/>
      <c r="N23" s="356"/>
    </row>
    <row r="24" spans="1:25" ht="12.75" customHeight="1" x14ac:dyDescent="0.2">
      <c r="A24" s="374"/>
      <c r="B24" s="374"/>
      <c r="C24" s="374"/>
      <c r="D24" s="374"/>
      <c r="E24" s="374"/>
      <c r="F24" s="374"/>
      <c r="G24" s="373"/>
      <c r="H24" s="683"/>
      <c r="I24" s="683"/>
      <c r="J24" s="683"/>
      <c r="K24" s="683"/>
      <c r="L24" s="224"/>
      <c r="M24" s="142"/>
      <c r="N24" s="356"/>
    </row>
    <row r="25" spans="1:25" ht="13.5" x14ac:dyDescent="0.2">
      <c r="B25" s="766"/>
      <c r="C25" s="766"/>
      <c r="D25" s="767"/>
      <c r="E25" s="768"/>
      <c r="F25" s="26"/>
      <c r="G25" s="374"/>
      <c r="H25" s="682"/>
      <c r="I25" s="682"/>
      <c r="J25" s="682"/>
      <c r="K25" s="682"/>
      <c r="L25" s="225"/>
      <c r="M25" s="374"/>
      <c r="N25" s="356"/>
    </row>
    <row r="26" spans="1:25" ht="13.5" x14ac:dyDescent="0.2">
      <c r="B26" s="659"/>
      <c r="C26" s="659"/>
      <c r="D26" s="659"/>
      <c r="E26" s="659"/>
      <c r="F26" s="26"/>
      <c r="G26" s="374"/>
      <c r="H26" s="374"/>
      <c r="I26" s="374"/>
      <c r="J26" s="374"/>
      <c r="K26" s="374"/>
      <c r="L26" s="225"/>
      <c r="M26" s="374"/>
      <c r="N26" s="356"/>
    </row>
    <row r="27" spans="1:25" x14ac:dyDescent="0.2">
      <c r="B27" s="371"/>
      <c r="C27" s="371"/>
      <c r="D27" s="371"/>
      <c r="F27" s="26"/>
      <c r="G27" s="26"/>
      <c r="H27" s="356"/>
      <c r="I27" s="659"/>
      <c r="J27" s="659"/>
      <c r="K27" s="356"/>
      <c r="L27" s="239"/>
      <c r="M27" s="5"/>
      <c r="N27" s="356"/>
    </row>
    <row r="28" spans="1:25" x14ac:dyDescent="0.2">
      <c r="B28" s="371"/>
      <c r="C28" s="371"/>
      <c r="D28" s="371"/>
      <c r="F28" s="26"/>
      <c r="G28" s="26"/>
      <c r="H28" s="356"/>
      <c r="I28" s="659"/>
      <c r="J28" s="659"/>
      <c r="K28" s="770"/>
      <c r="L28" s="239"/>
      <c r="M28" s="5"/>
      <c r="N28" s="239"/>
    </row>
    <row r="29" spans="1:25" x14ac:dyDescent="0.2">
      <c r="B29" s="659"/>
      <c r="C29" s="659"/>
      <c r="D29" s="769"/>
      <c r="E29" s="769"/>
      <c r="F29" s="26"/>
      <c r="G29" s="26"/>
      <c r="H29" s="371"/>
      <c r="I29" s="371"/>
      <c r="J29" s="371"/>
      <c r="K29" s="371"/>
      <c r="L29" s="239"/>
      <c r="M29" s="2"/>
      <c r="N29" s="356"/>
    </row>
    <row r="30" spans="1:25" x14ac:dyDescent="0.2">
      <c r="B30" s="356"/>
      <c r="C30" s="356"/>
      <c r="D30" s="370"/>
      <c r="E30" s="370"/>
      <c r="F30" s="26"/>
      <c r="G30" s="26"/>
      <c r="H30" s="371"/>
      <c r="I30" s="371"/>
      <c r="J30" s="371"/>
      <c r="K30" s="371"/>
      <c r="L30" s="239"/>
      <c r="M30" s="2"/>
      <c r="N30" s="356"/>
    </row>
    <row r="31" spans="1:25" x14ac:dyDescent="0.2">
      <c r="B31" s="356"/>
      <c r="C31" s="356"/>
      <c r="D31" s="371"/>
      <c r="E31" s="371"/>
      <c r="F31" s="356"/>
      <c r="G31" s="26"/>
      <c r="H31" s="356"/>
      <c r="I31" s="659"/>
      <c r="J31" s="659"/>
      <c r="K31" s="659"/>
      <c r="L31" s="239"/>
      <c r="M31" s="2"/>
      <c r="N31" s="356"/>
    </row>
    <row r="32" spans="1:25" x14ac:dyDescent="0.2">
      <c r="A32" s="43"/>
      <c r="B32" s="43"/>
      <c r="C32" s="43"/>
      <c r="D32" s="43"/>
      <c r="E32" s="43"/>
      <c r="F32" s="43"/>
      <c r="G32" s="26"/>
      <c r="H32" s="356"/>
      <c r="I32" s="356"/>
      <c r="J32" s="356"/>
      <c r="K32" s="356"/>
      <c r="L32" s="239"/>
      <c r="M32" s="2"/>
      <c r="N32" s="402"/>
    </row>
    <row r="33" spans="2:14" x14ac:dyDescent="0.2">
      <c r="C33" s="356"/>
      <c r="D33" s="356"/>
      <c r="E33" s="356"/>
      <c r="F33" s="362"/>
      <c r="G33" s="371"/>
      <c r="H33" s="371"/>
      <c r="I33" s="371"/>
      <c r="J33" s="371"/>
      <c r="K33" s="371"/>
      <c r="L33" s="371"/>
      <c r="M33" s="4"/>
    </row>
    <row r="34" spans="2:14" x14ac:dyDescent="0.2">
      <c r="B34" s="356"/>
      <c r="C34" s="356"/>
      <c r="D34" s="356"/>
      <c r="E34" s="356"/>
      <c r="F34" s="26"/>
      <c r="G34" s="43"/>
      <c r="H34" s="43"/>
      <c r="I34" s="43"/>
      <c r="J34" s="43"/>
      <c r="K34" s="43"/>
      <c r="L34" s="43"/>
      <c r="M34" s="43"/>
      <c r="N34" s="354"/>
    </row>
    <row r="35" spans="2:14" x14ac:dyDescent="0.2">
      <c r="G35" s="362"/>
      <c r="H35" s="362"/>
      <c r="I35" s="362"/>
      <c r="J35" s="362"/>
      <c r="K35" s="356"/>
      <c r="L35" s="356"/>
      <c r="M35" s="356"/>
      <c r="N35" s="354"/>
    </row>
    <row r="36" spans="2:14" x14ac:dyDescent="0.2">
      <c r="G36" s="356"/>
      <c r="H36" s="356"/>
      <c r="I36" s="356"/>
      <c r="J36" s="356"/>
      <c r="K36" s="356"/>
      <c r="L36" s="371"/>
      <c r="M36" s="356"/>
    </row>
  </sheetData>
  <mergeCells count="33">
    <mergeCell ref="B29:E29"/>
    <mergeCell ref="I31:K31"/>
    <mergeCell ref="B25:E25"/>
    <mergeCell ref="H25:I25"/>
    <mergeCell ref="J25:K25"/>
    <mergeCell ref="B26:E26"/>
    <mergeCell ref="I27:J27"/>
    <mergeCell ref="I28:K28"/>
    <mergeCell ref="A23:B23"/>
    <mergeCell ref="C23:E23"/>
    <mergeCell ref="H23:I23"/>
    <mergeCell ref="J23:K23"/>
    <mergeCell ref="H24:I24"/>
    <mergeCell ref="J24:K24"/>
    <mergeCell ref="A22:B22"/>
    <mergeCell ref="C22:E22"/>
    <mergeCell ref="B14:F14"/>
    <mergeCell ref="Q14:W14"/>
    <mergeCell ref="B16:F16"/>
    <mergeCell ref="B17:F17"/>
    <mergeCell ref="B18:F18"/>
    <mergeCell ref="K18:M18"/>
    <mergeCell ref="A7:M7"/>
    <mergeCell ref="A8:M8"/>
    <mergeCell ref="A10:E10"/>
    <mergeCell ref="F10:F12"/>
    <mergeCell ref="G10:I10"/>
    <mergeCell ref="J10:J12"/>
    <mergeCell ref="K10:M13"/>
    <mergeCell ref="A11:E11"/>
    <mergeCell ref="G11:G12"/>
    <mergeCell ref="I11:I12"/>
    <mergeCell ref="H11:H12"/>
  </mergeCells>
  <pageMargins left="0.7" right="0.7" top="0.75" bottom="0.75" header="0.3" footer="0.3"/>
  <pageSetup scale="96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8194" r:id="rId4">
          <objectPr defaultSize="0" autoPict="0" r:id="rId5">
            <anchor moveWithCells="1" sizeWithCells="1">
              <from>
                <xdr:col>16</xdr:col>
                <xdr:colOff>314325</xdr:colOff>
                <xdr:row>17</xdr:row>
                <xdr:rowOff>114300</xdr:rowOff>
              </from>
              <to>
                <xdr:col>18</xdr:col>
                <xdr:colOff>361950</xdr:colOff>
                <xdr:row>21</xdr:row>
                <xdr:rowOff>0</xdr:rowOff>
              </to>
            </anchor>
          </objectPr>
        </oleObject>
      </mc:Choice>
      <mc:Fallback>
        <oleObject progId="Equation.3" shapeId="819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zoomScaleNormal="100" zoomScaleSheetLayoutView="100" workbookViewId="0">
      <selection activeCell="F15" sqref="F15"/>
    </sheetView>
  </sheetViews>
  <sheetFormatPr defaultRowHeight="12.75" x14ac:dyDescent="0.2"/>
  <cols>
    <col min="3" max="3" width="10.85546875" customWidth="1"/>
    <col min="4" max="4" width="10.7109375" customWidth="1"/>
    <col min="5" max="5" width="13" customWidth="1"/>
    <col min="6" max="6" width="14.85546875" customWidth="1"/>
    <col min="7" max="7" width="2.7109375" customWidth="1"/>
    <col min="8" max="8" width="7" customWidth="1"/>
    <col min="9" max="9" width="17.5703125" customWidth="1"/>
    <col min="10" max="10" width="14.140625" customWidth="1"/>
    <col min="259" max="259" width="10.85546875" customWidth="1"/>
    <col min="260" max="260" width="7.7109375" customWidth="1"/>
    <col min="261" max="261" width="15" customWidth="1"/>
    <col min="262" max="262" width="14.85546875" customWidth="1"/>
    <col min="263" max="263" width="6.28515625" customWidth="1"/>
    <col min="264" max="264" width="9.28515625" customWidth="1"/>
    <col min="265" max="265" width="11.7109375" bestFit="1" customWidth="1"/>
    <col min="515" max="515" width="10.85546875" customWidth="1"/>
    <col min="516" max="516" width="7.7109375" customWidth="1"/>
    <col min="517" max="517" width="15" customWidth="1"/>
    <col min="518" max="518" width="14.85546875" customWidth="1"/>
    <col min="519" max="519" width="6.28515625" customWidth="1"/>
    <col min="520" max="520" width="9.28515625" customWidth="1"/>
    <col min="521" max="521" width="11.7109375" bestFit="1" customWidth="1"/>
    <col min="771" max="771" width="10.85546875" customWidth="1"/>
    <col min="772" max="772" width="7.7109375" customWidth="1"/>
    <col min="773" max="773" width="15" customWidth="1"/>
    <col min="774" max="774" width="14.85546875" customWidth="1"/>
    <col min="775" max="775" width="6.28515625" customWidth="1"/>
    <col min="776" max="776" width="9.28515625" customWidth="1"/>
    <col min="777" max="777" width="11.7109375" bestFit="1" customWidth="1"/>
    <col min="1027" max="1027" width="10.85546875" customWidth="1"/>
    <col min="1028" max="1028" width="7.7109375" customWidth="1"/>
    <col min="1029" max="1029" width="15" customWidth="1"/>
    <col min="1030" max="1030" width="14.85546875" customWidth="1"/>
    <col min="1031" max="1031" width="6.28515625" customWidth="1"/>
    <col min="1032" max="1032" width="9.28515625" customWidth="1"/>
    <col min="1033" max="1033" width="11.7109375" bestFit="1" customWidth="1"/>
    <col min="1283" max="1283" width="10.85546875" customWidth="1"/>
    <col min="1284" max="1284" width="7.7109375" customWidth="1"/>
    <col min="1285" max="1285" width="15" customWidth="1"/>
    <col min="1286" max="1286" width="14.85546875" customWidth="1"/>
    <col min="1287" max="1287" width="6.28515625" customWidth="1"/>
    <col min="1288" max="1288" width="9.28515625" customWidth="1"/>
    <col min="1289" max="1289" width="11.7109375" bestFit="1" customWidth="1"/>
    <col min="1539" max="1539" width="10.85546875" customWidth="1"/>
    <col min="1540" max="1540" width="7.7109375" customWidth="1"/>
    <col min="1541" max="1541" width="15" customWidth="1"/>
    <col min="1542" max="1542" width="14.85546875" customWidth="1"/>
    <col min="1543" max="1543" width="6.28515625" customWidth="1"/>
    <col min="1544" max="1544" width="9.28515625" customWidth="1"/>
    <col min="1545" max="1545" width="11.7109375" bestFit="1" customWidth="1"/>
    <col min="1795" max="1795" width="10.85546875" customWidth="1"/>
    <col min="1796" max="1796" width="7.7109375" customWidth="1"/>
    <col min="1797" max="1797" width="15" customWidth="1"/>
    <col min="1798" max="1798" width="14.85546875" customWidth="1"/>
    <col min="1799" max="1799" width="6.28515625" customWidth="1"/>
    <col min="1800" max="1800" width="9.28515625" customWidth="1"/>
    <col min="1801" max="1801" width="11.7109375" bestFit="1" customWidth="1"/>
    <col min="2051" max="2051" width="10.85546875" customWidth="1"/>
    <col min="2052" max="2052" width="7.7109375" customWidth="1"/>
    <col min="2053" max="2053" width="15" customWidth="1"/>
    <col min="2054" max="2054" width="14.85546875" customWidth="1"/>
    <col min="2055" max="2055" width="6.28515625" customWidth="1"/>
    <col min="2056" max="2056" width="9.28515625" customWidth="1"/>
    <col min="2057" max="2057" width="11.7109375" bestFit="1" customWidth="1"/>
    <col min="2307" max="2307" width="10.85546875" customWidth="1"/>
    <col min="2308" max="2308" width="7.7109375" customWidth="1"/>
    <col min="2309" max="2309" width="15" customWidth="1"/>
    <col min="2310" max="2310" width="14.85546875" customWidth="1"/>
    <col min="2311" max="2311" width="6.28515625" customWidth="1"/>
    <col min="2312" max="2312" width="9.28515625" customWidth="1"/>
    <col min="2313" max="2313" width="11.7109375" bestFit="1" customWidth="1"/>
    <col min="2563" max="2563" width="10.85546875" customWidth="1"/>
    <col min="2564" max="2564" width="7.7109375" customWidth="1"/>
    <col min="2565" max="2565" width="15" customWidth="1"/>
    <col min="2566" max="2566" width="14.85546875" customWidth="1"/>
    <col min="2567" max="2567" width="6.28515625" customWidth="1"/>
    <col min="2568" max="2568" width="9.28515625" customWidth="1"/>
    <col min="2569" max="2569" width="11.7109375" bestFit="1" customWidth="1"/>
    <col min="2819" max="2819" width="10.85546875" customWidth="1"/>
    <col min="2820" max="2820" width="7.7109375" customWidth="1"/>
    <col min="2821" max="2821" width="15" customWidth="1"/>
    <col min="2822" max="2822" width="14.85546875" customWidth="1"/>
    <col min="2823" max="2823" width="6.28515625" customWidth="1"/>
    <col min="2824" max="2824" width="9.28515625" customWidth="1"/>
    <col min="2825" max="2825" width="11.7109375" bestFit="1" customWidth="1"/>
    <col min="3075" max="3075" width="10.85546875" customWidth="1"/>
    <col min="3076" max="3076" width="7.7109375" customWidth="1"/>
    <col min="3077" max="3077" width="15" customWidth="1"/>
    <col min="3078" max="3078" width="14.85546875" customWidth="1"/>
    <col min="3079" max="3079" width="6.28515625" customWidth="1"/>
    <col min="3080" max="3080" width="9.28515625" customWidth="1"/>
    <col min="3081" max="3081" width="11.7109375" bestFit="1" customWidth="1"/>
    <col min="3331" max="3331" width="10.85546875" customWidth="1"/>
    <col min="3332" max="3332" width="7.7109375" customWidth="1"/>
    <col min="3333" max="3333" width="15" customWidth="1"/>
    <col min="3334" max="3334" width="14.85546875" customWidth="1"/>
    <col min="3335" max="3335" width="6.28515625" customWidth="1"/>
    <col min="3336" max="3336" width="9.28515625" customWidth="1"/>
    <col min="3337" max="3337" width="11.7109375" bestFit="1" customWidth="1"/>
    <col min="3587" max="3587" width="10.85546875" customWidth="1"/>
    <col min="3588" max="3588" width="7.7109375" customWidth="1"/>
    <col min="3589" max="3589" width="15" customWidth="1"/>
    <col min="3590" max="3590" width="14.85546875" customWidth="1"/>
    <col min="3591" max="3591" width="6.28515625" customWidth="1"/>
    <col min="3592" max="3592" width="9.28515625" customWidth="1"/>
    <col min="3593" max="3593" width="11.7109375" bestFit="1" customWidth="1"/>
    <col min="3843" max="3843" width="10.85546875" customWidth="1"/>
    <col min="3844" max="3844" width="7.7109375" customWidth="1"/>
    <col min="3845" max="3845" width="15" customWidth="1"/>
    <col min="3846" max="3846" width="14.85546875" customWidth="1"/>
    <col min="3847" max="3847" width="6.28515625" customWidth="1"/>
    <col min="3848" max="3848" width="9.28515625" customWidth="1"/>
    <col min="3849" max="3849" width="11.7109375" bestFit="1" customWidth="1"/>
    <col min="4099" max="4099" width="10.85546875" customWidth="1"/>
    <col min="4100" max="4100" width="7.7109375" customWidth="1"/>
    <col min="4101" max="4101" width="15" customWidth="1"/>
    <col min="4102" max="4102" width="14.85546875" customWidth="1"/>
    <col min="4103" max="4103" width="6.28515625" customWidth="1"/>
    <col min="4104" max="4104" width="9.28515625" customWidth="1"/>
    <col min="4105" max="4105" width="11.7109375" bestFit="1" customWidth="1"/>
    <col min="4355" max="4355" width="10.85546875" customWidth="1"/>
    <col min="4356" max="4356" width="7.7109375" customWidth="1"/>
    <col min="4357" max="4357" width="15" customWidth="1"/>
    <col min="4358" max="4358" width="14.85546875" customWidth="1"/>
    <col min="4359" max="4359" width="6.28515625" customWidth="1"/>
    <col min="4360" max="4360" width="9.28515625" customWidth="1"/>
    <col min="4361" max="4361" width="11.7109375" bestFit="1" customWidth="1"/>
    <col min="4611" max="4611" width="10.85546875" customWidth="1"/>
    <col min="4612" max="4612" width="7.7109375" customWidth="1"/>
    <col min="4613" max="4613" width="15" customWidth="1"/>
    <col min="4614" max="4614" width="14.85546875" customWidth="1"/>
    <col min="4615" max="4615" width="6.28515625" customWidth="1"/>
    <col min="4616" max="4616" width="9.28515625" customWidth="1"/>
    <col min="4617" max="4617" width="11.7109375" bestFit="1" customWidth="1"/>
    <col min="4867" max="4867" width="10.85546875" customWidth="1"/>
    <col min="4868" max="4868" width="7.7109375" customWidth="1"/>
    <col min="4869" max="4869" width="15" customWidth="1"/>
    <col min="4870" max="4870" width="14.85546875" customWidth="1"/>
    <col min="4871" max="4871" width="6.28515625" customWidth="1"/>
    <col min="4872" max="4872" width="9.28515625" customWidth="1"/>
    <col min="4873" max="4873" width="11.7109375" bestFit="1" customWidth="1"/>
    <col min="5123" max="5123" width="10.85546875" customWidth="1"/>
    <col min="5124" max="5124" width="7.7109375" customWidth="1"/>
    <col min="5125" max="5125" width="15" customWidth="1"/>
    <col min="5126" max="5126" width="14.85546875" customWidth="1"/>
    <col min="5127" max="5127" width="6.28515625" customWidth="1"/>
    <col min="5128" max="5128" width="9.28515625" customWidth="1"/>
    <col min="5129" max="5129" width="11.7109375" bestFit="1" customWidth="1"/>
    <col min="5379" max="5379" width="10.85546875" customWidth="1"/>
    <col min="5380" max="5380" width="7.7109375" customWidth="1"/>
    <col min="5381" max="5381" width="15" customWidth="1"/>
    <col min="5382" max="5382" width="14.85546875" customWidth="1"/>
    <col min="5383" max="5383" width="6.28515625" customWidth="1"/>
    <col min="5384" max="5384" width="9.28515625" customWidth="1"/>
    <col min="5385" max="5385" width="11.7109375" bestFit="1" customWidth="1"/>
    <col min="5635" max="5635" width="10.85546875" customWidth="1"/>
    <col min="5636" max="5636" width="7.7109375" customWidth="1"/>
    <col min="5637" max="5637" width="15" customWidth="1"/>
    <col min="5638" max="5638" width="14.85546875" customWidth="1"/>
    <col min="5639" max="5639" width="6.28515625" customWidth="1"/>
    <col min="5640" max="5640" width="9.28515625" customWidth="1"/>
    <col min="5641" max="5641" width="11.7109375" bestFit="1" customWidth="1"/>
    <col min="5891" max="5891" width="10.85546875" customWidth="1"/>
    <col min="5892" max="5892" width="7.7109375" customWidth="1"/>
    <col min="5893" max="5893" width="15" customWidth="1"/>
    <col min="5894" max="5894" width="14.85546875" customWidth="1"/>
    <col min="5895" max="5895" width="6.28515625" customWidth="1"/>
    <col min="5896" max="5896" width="9.28515625" customWidth="1"/>
    <col min="5897" max="5897" width="11.7109375" bestFit="1" customWidth="1"/>
    <col min="6147" max="6147" width="10.85546875" customWidth="1"/>
    <col min="6148" max="6148" width="7.7109375" customWidth="1"/>
    <col min="6149" max="6149" width="15" customWidth="1"/>
    <col min="6150" max="6150" width="14.85546875" customWidth="1"/>
    <col min="6151" max="6151" width="6.28515625" customWidth="1"/>
    <col min="6152" max="6152" width="9.28515625" customWidth="1"/>
    <col min="6153" max="6153" width="11.7109375" bestFit="1" customWidth="1"/>
    <col min="6403" max="6403" width="10.85546875" customWidth="1"/>
    <col min="6404" max="6404" width="7.7109375" customWidth="1"/>
    <col min="6405" max="6405" width="15" customWidth="1"/>
    <col min="6406" max="6406" width="14.85546875" customWidth="1"/>
    <col min="6407" max="6407" width="6.28515625" customWidth="1"/>
    <col min="6408" max="6408" width="9.28515625" customWidth="1"/>
    <col min="6409" max="6409" width="11.7109375" bestFit="1" customWidth="1"/>
    <col min="6659" max="6659" width="10.85546875" customWidth="1"/>
    <col min="6660" max="6660" width="7.7109375" customWidth="1"/>
    <col min="6661" max="6661" width="15" customWidth="1"/>
    <col min="6662" max="6662" width="14.85546875" customWidth="1"/>
    <col min="6663" max="6663" width="6.28515625" customWidth="1"/>
    <col min="6664" max="6664" width="9.28515625" customWidth="1"/>
    <col min="6665" max="6665" width="11.7109375" bestFit="1" customWidth="1"/>
    <col min="6915" max="6915" width="10.85546875" customWidth="1"/>
    <col min="6916" max="6916" width="7.7109375" customWidth="1"/>
    <col min="6917" max="6917" width="15" customWidth="1"/>
    <col min="6918" max="6918" width="14.85546875" customWidth="1"/>
    <col min="6919" max="6919" width="6.28515625" customWidth="1"/>
    <col min="6920" max="6920" width="9.28515625" customWidth="1"/>
    <col min="6921" max="6921" width="11.7109375" bestFit="1" customWidth="1"/>
    <col min="7171" max="7171" width="10.85546875" customWidth="1"/>
    <col min="7172" max="7172" width="7.7109375" customWidth="1"/>
    <col min="7173" max="7173" width="15" customWidth="1"/>
    <col min="7174" max="7174" width="14.85546875" customWidth="1"/>
    <col min="7175" max="7175" width="6.28515625" customWidth="1"/>
    <col min="7176" max="7176" width="9.28515625" customWidth="1"/>
    <col min="7177" max="7177" width="11.7109375" bestFit="1" customWidth="1"/>
    <col min="7427" max="7427" width="10.85546875" customWidth="1"/>
    <col min="7428" max="7428" width="7.7109375" customWidth="1"/>
    <col min="7429" max="7429" width="15" customWidth="1"/>
    <col min="7430" max="7430" width="14.85546875" customWidth="1"/>
    <col min="7431" max="7431" width="6.28515625" customWidth="1"/>
    <col min="7432" max="7432" width="9.28515625" customWidth="1"/>
    <col min="7433" max="7433" width="11.7109375" bestFit="1" customWidth="1"/>
    <col min="7683" max="7683" width="10.85546875" customWidth="1"/>
    <col min="7684" max="7684" width="7.7109375" customWidth="1"/>
    <col min="7685" max="7685" width="15" customWidth="1"/>
    <col min="7686" max="7686" width="14.85546875" customWidth="1"/>
    <col min="7687" max="7687" width="6.28515625" customWidth="1"/>
    <col min="7688" max="7688" width="9.28515625" customWidth="1"/>
    <col min="7689" max="7689" width="11.7109375" bestFit="1" customWidth="1"/>
    <col min="7939" max="7939" width="10.85546875" customWidth="1"/>
    <col min="7940" max="7940" width="7.7109375" customWidth="1"/>
    <col min="7941" max="7941" width="15" customWidth="1"/>
    <col min="7942" max="7942" width="14.85546875" customWidth="1"/>
    <col min="7943" max="7943" width="6.28515625" customWidth="1"/>
    <col min="7944" max="7944" width="9.28515625" customWidth="1"/>
    <col min="7945" max="7945" width="11.7109375" bestFit="1" customWidth="1"/>
    <col min="8195" max="8195" width="10.85546875" customWidth="1"/>
    <col min="8196" max="8196" width="7.7109375" customWidth="1"/>
    <col min="8197" max="8197" width="15" customWidth="1"/>
    <col min="8198" max="8198" width="14.85546875" customWidth="1"/>
    <col min="8199" max="8199" width="6.28515625" customWidth="1"/>
    <col min="8200" max="8200" width="9.28515625" customWidth="1"/>
    <col min="8201" max="8201" width="11.7109375" bestFit="1" customWidth="1"/>
    <col min="8451" max="8451" width="10.85546875" customWidth="1"/>
    <col min="8452" max="8452" width="7.7109375" customWidth="1"/>
    <col min="8453" max="8453" width="15" customWidth="1"/>
    <col min="8454" max="8454" width="14.85546875" customWidth="1"/>
    <col min="8455" max="8455" width="6.28515625" customWidth="1"/>
    <col min="8456" max="8456" width="9.28515625" customWidth="1"/>
    <col min="8457" max="8457" width="11.7109375" bestFit="1" customWidth="1"/>
    <col min="8707" max="8707" width="10.85546875" customWidth="1"/>
    <col min="8708" max="8708" width="7.7109375" customWidth="1"/>
    <col min="8709" max="8709" width="15" customWidth="1"/>
    <col min="8710" max="8710" width="14.85546875" customWidth="1"/>
    <col min="8711" max="8711" width="6.28515625" customWidth="1"/>
    <col min="8712" max="8712" width="9.28515625" customWidth="1"/>
    <col min="8713" max="8713" width="11.7109375" bestFit="1" customWidth="1"/>
    <col min="8963" max="8963" width="10.85546875" customWidth="1"/>
    <col min="8964" max="8964" width="7.7109375" customWidth="1"/>
    <col min="8965" max="8965" width="15" customWidth="1"/>
    <col min="8966" max="8966" width="14.85546875" customWidth="1"/>
    <col min="8967" max="8967" width="6.28515625" customWidth="1"/>
    <col min="8968" max="8968" width="9.28515625" customWidth="1"/>
    <col min="8969" max="8969" width="11.7109375" bestFit="1" customWidth="1"/>
    <col min="9219" max="9219" width="10.85546875" customWidth="1"/>
    <col min="9220" max="9220" width="7.7109375" customWidth="1"/>
    <col min="9221" max="9221" width="15" customWidth="1"/>
    <col min="9222" max="9222" width="14.85546875" customWidth="1"/>
    <col min="9223" max="9223" width="6.28515625" customWidth="1"/>
    <col min="9224" max="9224" width="9.28515625" customWidth="1"/>
    <col min="9225" max="9225" width="11.7109375" bestFit="1" customWidth="1"/>
    <col min="9475" max="9475" width="10.85546875" customWidth="1"/>
    <col min="9476" max="9476" width="7.7109375" customWidth="1"/>
    <col min="9477" max="9477" width="15" customWidth="1"/>
    <col min="9478" max="9478" width="14.85546875" customWidth="1"/>
    <col min="9479" max="9479" width="6.28515625" customWidth="1"/>
    <col min="9480" max="9480" width="9.28515625" customWidth="1"/>
    <col min="9481" max="9481" width="11.7109375" bestFit="1" customWidth="1"/>
    <col min="9731" max="9731" width="10.85546875" customWidth="1"/>
    <col min="9732" max="9732" width="7.7109375" customWidth="1"/>
    <col min="9733" max="9733" width="15" customWidth="1"/>
    <col min="9734" max="9734" width="14.85546875" customWidth="1"/>
    <col min="9735" max="9735" width="6.28515625" customWidth="1"/>
    <col min="9736" max="9736" width="9.28515625" customWidth="1"/>
    <col min="9737" max="9737" width="11.7109375" bestFit="1" customWidth="1"/>
    <col min="9987" max="9987" width="10.85546875" customWidth="1"/>
    <col min="9988" max="9988" width="7.7109375" customWidth="1"/>
    <col min="9989" max="9989" width="15" customWidth="1"/>
    <col min="9990" max="9990" width="14.85546875" customWidth="1"/>
    <col min="9991" max="9991" width="6.28515625" customWidth="1"/>
    <col min="9992" max="9992" width="9.28515625" customWidth="1"/>
    <col min="9993" max="9993" width="11.7109375" bestFit="1" customWidth="1"/>
    <col min="10243" max="10243" width="10.85546875" customWidth="1"/>
    <col min="10244" max="10244" width="7.7109375" customWidth="1"/>
    <col min="10245" max="10245" width="15" customWidth="1"/>
    <col min="10246" max="10246" width="14.85546875" customWidth="1"/>
    <col min="10247" max="10247" width="6.28515625" customWidth="1"/>
    <col min="10248" max="10248" width="9.28515625" customWidth="1"/>
    <col min="10249" max="10249" width="11.7109375" bestFit="1" customWidth="1"/>
    <col min="10499" max="10499" width="10.85546875" customWidth="1"/>
    <col min="10500" max="10500" width="7.7109375" customWidth="1"/>
    <col min="10501" max="10501" width="15" customWidth="1"/>
    <col min="10502" max="10502" width="14.85546875" customWidth="1"/>
    <col min="10503" max="10503" width="6.28515625" customWidth="1"/>
    <col min="10504" max="10504" width="9.28515625" customWidth="1"/>
    <col min="10505" max="10505" width="11.7109375" bestFit="1" customWidth="1"/>
    <col min="10755" max="10755" width="10.85546875" customWidth="1"/>
    <col min="10756" max="10756" width="7.7109375" customWidth="1"/>
    <col min="10757" max="10757" width="15" customWidth="1"/>
    <col min="10758" max="10758" width="14.85546875" customWidth="1"/>
    <col min="10759" max="10759" width="6.28515625" customWidth="1"/>
    <col min="10760" max="10760" width="9.28515625" customWidth="1"/>
    <col min="10761" max="10761" width="11.7109375" bestFit="1" customWidth="1"/>
    <col min="11011" max="11011" width="10.85546875" customWidth="1"/>
    <col min="11012" max="11012" width="7.7109375" customWidth="1"/>
    <col min="11013" max="11013" width="15" customWidth="1"/>
    <col min="11014" max="11014" width="14.85546875" customWidth="1"/>
    <col min="11015" max="11015" width="6.28515625" customWidth="1"/>
    <col min="11016" max="11016" width="9.28515625" customWidth="1"/>
    <col min="11017" max="11017" width="11.7109375" bestFit="1" customWidth="1"/>
    <col min="11267" max="11267" width="10.85546875" customWidth="1"/>
    <col min="11268" max="11268" width="7.7109375" customWidth="1"/>
    <col min="11269" max="11269" width="15" customWidth="1"/>
    <col min="11270" max="11270" width="14.85546875" customWidth="1"/>
    <col min="11271" max="11271" width="6.28515625" customWidth="1"/>
    <col min="11272" max="11272" width="9.28515625" customWidth="1"/>
    <col min="11273" max="11273" width="11.7109375" bestFit="1" customWidth="1"/>
    <col min="11523" max="11523" width="10.85546875" customWidth="1"/>
    <col min="11524" max="11524" width="7.7109375" customWidth="1"/>
    <col min="11525" max="11525" width="15" customWidth="1"/>
    <col min="11526" max="11526" width="14.85546875" customWidth="1"/>
    <col min="11527" max="11527" width="6.28515625" customWidth="1"/>
    <col min="11528" max="11528" width="9.28515625" customWidth="1"/>
    <col min="11529" max="11529" width="11.7109375" bestFit="1" customWidth="1"/>
    <col min="11779" max="11779" width="10.85546875" customWidth="1"/>
    <col min="11780" max="11780" width="7.7109375" customWidth="1"/>
    <col min="11781" max="11781" width="15" customWidth="1"/>
    <col min="11782" max="11782" width="14.85546875" customWidth="1"/>
    <col min="11783" max="11783" width="6.28515625" customWidth="1"/>
    <col min="11784" max="11784" width="9.28515625" customWidth="1"/>
    <col min="11785" max="11785" width="11.7109375" bestFit="1" customWidth="1"/>
    <col min="12035" max="12035" width="10.85546875" customWidth="1"/>
    <col min="12036" max="12036" width="7.7109375" customWidth="1"/>
    <col min="12037" max="12037" width="15" customWidth="1"/>
    <col min="12038" max="12038" width="14.85546875" customWidth="1"/>
    <col min="12039" max="12039" width="6.28515625" customWidth="1"/>
    <col min="12040" max="12040" width="9.28515625" customWidth="1"/>
    <col min="12041" max="12041" width="11.7109375" bestFit="1" customWidth="1"/>
    <col min="12291" max="12291" width="10.85546875" customWidth="1"/>
    <col min="12292" max="12292" width="7.7109375" customWidth="1"/>
    <col min="12293" max="12293" width="15" customWidth="1"/>
    <col min="12294" max="12294" width="14.85546875" customWidth="1"/>
    <col min="12295" max="12295" width="6.28515625" customWidth="1"/>
    <col min="12296" max="12296" width="9.28515625" customWidth="1"/>
    <col min="12297" max="12297" width="11.7109375" bestFit="1" customWidth="1"/>
    <col min="12547" max="12547" width="10.85546875" customWidth="1"/>
    <col min="12548" max="12548" width="7.7109375" customWidth="1"/>
    <col min="12549" max="12549" width="15" customWidth="1"/>
    <col min="12550" max="12550" width="14.85546875" customWidth="1"/>
    <col min="12551" max="12551" width="6.28515625" customWidth="1"/>
    <col min="12552" max="12552" width="9.28515625" customWidth="1"/>
    <col min="12553" max="12553" width="11.7109375" bestFit="1" customWidth="1"/>
    <col min="12803" max="12803" width="10.85546875" customWidth="1"/>
    <col min="12804" max="12804" width="7.7109375" customWidth="1"/>
    <col min="12805" max="12805" width="15" customWidth="1"/>
    <col min="12806" max="12806" width="14.85546875" customWidth="1"/>
    <col min="12807" max="12807" width="6.28515625" customWidth="1"/>
    <col min="12808" max="12808" width="9.28515625" customWidth="1"/>
    <col min="12809" max="12809" width="11.7109375" bestFit="1" customWidth="1"/>
    <col min="13059" max="13059" width="10.85546875" customWidth="1"/>
    <col min="13060" max="13060" width="7.7109375" customWidth="1"/>
    <col min="13061" max="13061" width="15" customWidth="1"/>
    <col min="13062" max="13062" width="14.85546875" customWidth="1"/>
    <col min="13063" max="13063" width="6.28515625" customWidth="1"/>
    <col min="13064" max="13064" width="9.28515625" customWidth="1"/>
    <col min="13065" max="13065" width="11.7109375" bestFit="1" customWidth="1"/>
    <col min="13315" max="13315" width="10.85546875" customWidth="1"/>
    <col min="13316" max="13316" width="7.7109375" customWidth="1"/>
    <col min="13317" max="13317" width="15" customWidth="1"/>
    <col min="13318" max="13318" width="14.85546875" customWidth="1"/>
    <col min="13319" max="13319" width="6.28515625" customWidth="1"/>
    <col min="13320" max="13320" width="9.28515625" customWidth="1"/>
    <col min="13321" max="13321" width="11.7109375" bestFit="1" customWidth="1"/>
    <col min="13571" max="13571" width="10.85546875" customWidth="1"/>
    <col min="13572" max="13572" width="7.7109375" customWidth="1"/>
    <col min="13573" max="13573" width="15" customWidth="1"/>
    <col min="13574" max="13574" width="14.85546875" customWidth="1"/>
    <col min="13575" max="13575" width="6.28515625" customWidth="1"/>
    <col min="13576" max="13576" width="9.28515625" customWidth="1"/>
    <col min="13577" max="13577" width="11.7109375" bestFit="1" customWidth="1"/>
    <col min="13827" max="13827" width="10.85546875" customWidth="1"/>
    <col min="13828" max="13828" width="7.7109375" customWidth="1"/>
    <col min="13829" max="13829" width="15" customWidth="1"/>
    <col min="13830" max="13830" width="14.85546875" customWidth="1"/>
    <col min="13831" max="13831" width="6.28515625" customWidth="1"/>
    <col min="13832" max="13832" width="9.28515625" customWidth="1"/>
    <col min="13833" max="13833" width="11.7109375" bestFit="1" customWidth="1"/>
    <col min="14083" max="14083" width="10.85546875" customWidth="1"/>
    <col min="14084" max="14084" width="7.7109375" customWidth="1"/>
    <col min="14085" max="14085" width="15" customWidth="1"/>
    <col min="14086" max="14086" width="14.85546875" customWidth="1"/>
    <col min="14087" max="14087" width="6.28515625" customWidth="1"/>
    <col min="14088" max="14088" width="9.28515625" customWidth="1"/>
    <col min="14089" max="14089" width="11.7109375" bestFit="1" customWidth="1"/>
    <col min="14339" max="14339" width="10.85546875" customWidth="1"/>
    <col min="14340" max="14340" width="7.7109375" customWidth="1"/>
    <col min="14341" max="14341" width="15" customWidth="1"/>
    <col min="14342" max="14342" width="14.85546875" customWidth="1"/>
    <col min="14343" max="14343" width="6.28515625" customWidth="1"/>
    <col min="14344" max="14344" width="9.28515625" customWidth="1"/>
    <col min="14345" max="14345" width="11.7109375" bestFit="1" customWidth="1"/>
    <col min="14595" max="14595" width="10.85546875" customWidth="1"/>
    <col min="14596" max="14596" width="7.7109375" customWidth="1"/>
    <col min="14597" max="14597" width="15" customWidth="1"/>
    <col min="14598" max="14598" width="14.85546875" customWidth="1"/>
    <col min="14599" max="14599" width="6.28515625" customWidth="1"/>
    <col min="14600" max="14600" width="9.28515625" customWidth="1"/>
    <col min="14601" max="14601" width="11.7109375" bestFit="1" customWidth="1"/>
    <col min="14851" max="14851" width="10.85546875" customWidth="1"/>
    <col min="14852" max="14852" width="7.7109375" customWidth="1"/>
    <col min="14853" max="14853" width="15" customWidth="1"/>
    <col min="14854" max="14854" width="14.85546875" customWidth="1"/>
    <col min="14855" max="14855" width="6.28515625" customWidth="1"/>
    <col min="14856" max="14856" width="9.28515625" customWidth="1"/>
    <col min="14857" max="14857" width="11.7109375" bestFit="1" customWidth="1"/>
    <col min="15107" max="15107" width="10.85546875" customWidth="1"/>
    <col min="15108" max="15108" width="7.7109375" customWidth="1"/>
    <col min="15109" max="15109" width="15" customWidth="1"/>
    <col min="15110" max="15110" width="14.85546875" customWidth="1"/>
    <col min="15111" max="15111" width="6.28515625" customWidth="1"/>
    <col min="15112" max="15112" width="9.28515625" customWidth="1"/>
    <col min="15113" max="15113" width="11.7109375" bestFit="1" customWidth="1"/>
    <col min="15363" max="15363" width="10.85546875" customWidth="1"/>
    <col min="15364" max="15364" width="7.7109375" customWidth="1"/>
    <col min="15365" max="15365" width="15" customWidth="1"/>
    <col min="15366" max="15366" width="14.85546875" customWidth="1"/>
    <col min="15367" max="15367" width="6.28515625" customWidth="1"/>
    <col min="15368" max="15368" width="9.28515625" customWidth="1"/>
    <col min="15369" max="15369" width="11.7109375" bestFit="1" customWidth="1"/>
    <col min="15619" max="15619" width="10.85546875" customWidth="1"/>
    <col min="15620" max="15620" width="7.7109375" customWidth="1"/>
    <col min="15621" max="15621" width="15" customWidth="1"/>
    <col min="15622" max="15622" width="14.85546875" customWidth="1"/>
    <col min="15623" max="15623" width="6.28515625" customWidth="1"/>
    <col min="15624" max="15624" width="9.28515625" customWidth="1"/>
    <col min="15625" max="15625" width="11.7109375" bestFit="1" customWidth="1"/>
    <col min="15875" max="15875" width="10.85546875" customWidth="1"/>
    <col min="15876" max="15876" width="7.7109375" customWidth="1"/>
    <col min="15877" max="15877" width="15" customWidth="1"/>
    <col min="15878" max="15878" width="14.85546875" customWidth="1"/>
    <col min="15879" max="15879" width="6.28515625" customWidth="1"/>
    <col min="15880" max="15880" width="9.28515625" customWidth="1"/>
    <col min="15881" max="15881" width="11.7109375" bestFit="1" customWidth="1"/>
    <col min="16131" max="16131" width="10.85546875" customWidth="1"/>
    <col min="16132" max="16132" width="7.7109375" customWidth="1"/>
    <col min="16133" max="16133" width="15" customWidth="1"/>
    <col min="16134" max="16134" width="14.85546875" customWidth="1"/>
    <col min="16135" max="16135" width="6.28515625" customWidth="1"/>
    <col min="16136" max="16136" width="9.28515625" customWidth="1"/>
    <col min="16137" max="16137" width="11.7109375" bestFit="1" customWidth="1"/>
  </cols>
  <sheetData>
    <row r="1" spans="1:18" s="447" customFormat="1" ht="12.75" customHeight="1" x14ac:dyDescent="0.2">
      <c r="A1" s="446" t="s">
        <v>466</v>
      </c>
      <c r="B1" s="446"/>
      <c r="C1" s="446"/>
      <c r="E1" s="649" t="s">
        <v>492</v>
      </c>
      <c r="F1" s="646"/>
      <c r="G1" s="646"/>
      <c r="H1" s="646"/>
      <c r="I1" s="448"/>
    </row>
    <row r="2" spans="1:18" s="447" customFormat="1" x14ac:dyDescent="0.2">
      <c r="A2" s="446" t="s">
        <v>128</v>
      </c>
      <c r="B2" s="446"/>
      <c r="C2" s="446"/>
      <c r="D2"/>
      <c r="E2" s="646"/>
      <c r="F2" s="646"/>
      <c r="G2" s="646"/>
      <c r="H2" s="646"/>
      <c r="I2" s="448"/>
    </row>
    <row r="3" spans="1:18" s="447" customFormat="1" ht="12.75" customHeight="1" x14ac:dyDescent="0.2">
      <c r="A3" s="446" t="s">
        <v>129</v>
      </c>
      <c r="B3" s="446"/>
      <c r="C3" s="446"/>
      <c r="D3"/>
      <c r="E3" s="646"/>
      <c r="F3" s="646"/>
      <c r="G3" s="646"/>
      <c r="H3" s="646"/>
      <c r="I3" s="448"/>
    </row>
    <row r="4" spans="1:18" s="447" customFormat="1" ht="12.75" customHeight="1" x14ac:dyDescent="0.2">
      <c r="A4" s="446" t="s">
        <v>130</v>
      </c>
      <c r="B4" s="446"/>
      <c r="C4" s="446"/>
      <c r="D4"/>
      <c r="E4" s="646"/>
      <c r="F4" s="646"/>
      <c r="G4" s="646"/>
      <c r="H4" s="646"/>
      <c r="I4"/>
    </row>
    <row r="5" spans="1:18" s="447" customFormat="1" x14ac:dyDescent="0.2">
      <c r="A5" s="446" t="s">
        <v>467</v>
      </c>
      <c r="B5" s="446"/>
      <c r="C5" s="446"/>
      <c r="D5"/>
      <c r="E5"/>
      <c r="F5"/>
      <c r="G5"/>
      <c r="H5"/>
    </row>
    <row r="6" spans="1:18" s="447" customFormat="1" x14ac:dyDescent="0.2">
      <c r="A6" s="446" t="s">
        <v>468</v>
      </c>
      <c r="B6" s="446"/>
      <c r="C6" s="446"/>
      <c r="D6"/>
      <c r="E6" s="446" t="s">
        <v>469</v>
      </c>
      <c r="F6" s="446"/>
      <c r="G6" s="446"/>
      <c r="H6"/>
    </row>
    <row r="7" spans="1:18" s="447" customFormat="1" x14ac:dyDescent="0.2">
      <c r="A7" s="446"/>
      <c r="B7" s="446"/>
      <c r="C7" s="446"/>
      <c r="D7"/>
      <c r="E7" s="446" t="s">
        <v>470</v>
      </c>
      <c r="F7" s="446"/>
      <c r="G7" s="446"/>
      <c r="H7"/>
    </row>
    <row r="9" spans="1:18" ht="15.75" x14ac:dyDescent="0.25">
      <c r="A9" s="449" t="s">
        <v>471</v>
      </c>
    </row>
    <row r="10" spans="1:18" s="447" customFormat="1" x14ac:dyDescent="0.2">
      <c r="A10" s="645" t="s">
        <v>472</v>
      </c>
      <c r="B10" s="646"/>
      <c r="C10" s="646"/>
      <c r="D10" s="646"/>
      <c r="E10" s="646"/>
      <c r="F10" s="646"/>
      <c r="G10" s="646"/>
      <c r="H10" s="646"/>
    </row>
    <row r="11" spans="1:18" s="447" customFormat="1" x14ac:dyDescent="0.2">
      <c r="A11" s="646"/>
      <c r="B11" s="646"/>
      <c r="C11" s="646"/>
      <c r="D11" s="646"/>
      <c r="E11" s="646"/>
      <c r="F11" s="646"/>
      <c r="G11" s="646"/>
      <c r="H11" s="646"/>
    </row>
    <row r="13" spans="1:18" x14ac:dyDescent="0.2">
      <c r="B13" s="446" t="s">
        <v>473</v>
      </c>
    </row>
    <row r="15" spans="1:18" ht="13.5" x14ac:dyDescent="0.2">
      <c r="A15" s="450" t="s">
        <v>517</v>
      </c>
      <c r="B15" s="451"/>
      <c r="C15" s="451"/>
      <c r="D15" s="451"/>
      <c r="E15" s="451"/>
      <c r="F15" s="452">
        <f>'TOPO_XVRA- KOMBO ARXAIOL_XVROY'!J81</f>
        <v>66024.154999999999</v>
      </c>
      <c r="G15" s="453"/>
      <c r="H15" s="453"/>
      <c r="K15" s="580"/>
      <c r="L15" s="581"/>
      <c r="M15" s="581"/>
      <c r="N15" s="581"/>
      <c r="O15" s="581"/>
      <c r="P15" s="239"/>
      <c r="Q15" s="239"/>
      <c r="R15" s="466"/>
    </row>
    <row r="16" spans="1:18" ht="13.5" x14ac:dyDescent="0.2">
      <c r="A16" s="450" t="s">
        <v>518</v>
      </c>
      <c r="B16" s="451"/>
      <c r="C16" s="451"/>
      <c r="D16" s="451"/>
      <c r="E16" s="451"/>
      <c r="F16" s="452">
        <f>SYGKOINVNIAKA!J102</f>
        <v>73879.099000000002</v>
      </c>
      <c r="G16" s="453"/>
      <c r="H16" s="453"/>
      <c r="K16" s="580"/>
      <c r="L16" s="239"/>
      <c r="M16" s="239"/>
      <c r="N16" s="239"/>
      <c r="O16" s="239"/>
      <c r="P16" s="239"/>
      <c r="Q16" s="239"/>
      <c r="R16" s="466"/>
    </row>
    <row r="17" spans="1:18" ht="13.5" x14ac:dyDescent="0.2">
      <c r="A17" s="450" t="s">
        <v>519</v>
      </c>
      <c r="B17" s="451"/>
      <c r="C17" s="451"/>
      <c r="D17" s="451"/>
      <c r="E17" s="451"/>
      <c r="F17" s="452">
        <f>YDRAYLIKA!J35</f>
        <v>45121.54</v>
      </c>
      <c r="G17" s="453"/>
      <c r="H17" s="453"/>
      <c r="K17" s="580"/>
      <c r="L17" s="239"/>
      <c r="M17" s="239"/>
      <c r="N17" s="239"/>
      <c r="O17" s="239"/>
      <c r="P17" s="239"/>
      <c r="Q17" s="239"/>
      <c r="R17" s="466"/>
    </row>
    <row r="18" spans="1:18" ht="13.5" x14ac:dyDescent="0.2">
      <c r="A18" s="450" t="s">
        <v>567</v>
      </c>
      <c r="B18" s="451"/>
      <c r="C18" s="451"/>
      <c r="D18" s="451"/>
      <c r="E18" s="451"/>
      <c r="F18" s="452">
        <f>ΣΤΑΤΙΚΑ!J33</f>
        <v>6076.7999999999993</v>
      </c>
      <c r="G18" s="453"/>
      <c r="H18" s="453"/>
      <c r="K18" s="580"/>
      <c r="L18" s="239"/>
      <c r="M18" s="239"/>
      <c r="N18" s="239"/>
      <c r="O18" s="239"/>
      <c r="P18" s="239"/>
      <c r="Q18" s="239"/>
      <c r="R18" s="466"/>
    </row>
    <row r="19" spans="1:18" ht="13.5" x14ac:dyDescent="0.2">
      <c r="A19" s="450" t="s">
        <v>535</v>
      </c>
      <c r="B19" s="451"/>
      <c r="C19" s="451"/>
      <c r="D19" s="451"/>
      <c r="E19" s="451"/>
      <c r="F19" s="452">
        <f>PERIBALLONTIKA!J27</f>
        <v>23617.89</v>
      </c>
      <c r="G19" s="453"/>
      <c r="H19" s="453"/>
      <c r="K19" s="580"/>
      <c r="L19" s="239"/>
      <c r="M19" s="239"/>
      <c r="N19" s="239"/>
      <c r="O19" s="239"/>
      <c r="P19" s="239"/>
      <c r="Q19" s="239"/>
      <c r="R19" s="466"/>
    </row>
    <row r="20" spans="1:18" ht="13.5" x14ac:dyDescent="0.2">
      <c r="A20" s="450" t="s">
        <v>536</v>
      </c>
      <c r="B20" s="451"/>
      <c r="C20" s="451"/>
      <c r="D20" s="451"/>
      <c r="E20" s="451"/>
      <c r="F20" s="454">
        <f>GEVLOGIKA!J44</f>
        <v>24012.611250000002</v>
      </c>
      <c r="G20" s="453"/>
      <c r="H20" s="453"/>
      <c r="K20" s="580"/>
      <c r="L20" s="239"/>
      <c r="M20" s="239"/>
      <c r="N20" s="239"/>
      <c r="O20" s="239"/>
      <c r="P20" s="239"/>
      <c r="Q20" s="239"/>
      <c r="R20" s="466"/>
    </row>
    <row r="21" spans="1:18" ht="13.5" x14ac:dyDescent="0.2">
      <c r="A21" s="450" t="s">
        <v>524</v>
      </c>
      <c r="B21" s="451"/>
      <c r="C21" s="451"/>
      <c r="D21" s="451"/>
      <c r="E21" s="451"/>
      <c r="F21" s="452">
        <f>GEVTEXNIKA!J74</f>
        <v>32821.234465282891</v>
      </c>
      <c r="G21" s="453"/>
      <c r="H21" s="453"/>
      <c r="K21" s="580"/>
      <c r="L21" s="239"/>
      <c r="M21" s="239"/>
      <c r="N21" s="239"/>
      <c r="O21" s="239"/>
      <c r="P21" s="239"/>
      <c r="Q21" s="239"/>
      <c r="R21" s="466"/>
    </row>
    <row r="22" spans="1:18" ht="12.75" customHeight="1" x14ac:dyDescent="0.2">
      <c r="A22" s="450" t="s">
        <v>525</v>
      </c>
      <c r="B22" s="451"/>
      <c r="C22" s="451"/>
      <c r="D22" s="451"/>
      <c r="E22" s="451"/>
      <c r="F22" s="452">
        <f>HM!J28</f>
        <v>10071.599999999999</v>
      </c>
      <c r="G22" s="453"/>
      <c r="H22" s="453"/>
      <c r="I22" s="455"/>
      <c r="J22" s="463">
        <f>SUM(F15:F22)</f>
        <v>281624.92971528287</v>
      </c>
      <c r="K22" s="582"/>
      <c r="L22" s="581"/>
      <c r="M22" s="581"/>
      <c r="N22" s="581"/>
      <c r="O22" s="581"/>
      <c r="P22" s="581"/>
      <c r="Q22" s="581"/>
      <c r="R22" s="466"/>
    </row>
    <row r="23" spans="1:18" x14ac:dyDescent="0.2">
      <c r="A23" s="450" t="s">
        <v>477</v>
      </c>
      <c r="B23" s="451"/>
      <c r="C23" s="451"/>
      <c r="D23" s="451"/>
      <c r="E23" s="451"/>
      <c r="F23" s="467">
        <f>'SAY-FAY'!J18</f>
        <v>3182.3617057826964</v>
      </c>
      <c r="G23" s="453"/>
      <c r="H23" s="453"/>
      <c r="K23" s="466"/>
      <c r="L23" s="466"/>
      <c r="M23" s="466"/>
      <c r="N23" s="466"/>
      <c r="O23" s="466"/>
      <c r="P23" s="466"/>
      <c r="Q23" s="466"/>
      <c r="R23" s="466"/>
    </row>
    <row r="24" spans="1:18" x14ac:dyDescent="0.2">
      <c r="K24" s="466"/>
      <c r="L24" s="466"/>
      <c r="M24" s="466"/>
      <c r="N24" s="466"/>
      <c r="O24" s="466"/>
      <c r="P24" s="466"/>
      <c r="Q24" s="466"/>
      <c r="R24" s="466"/>
    </row>
    <row r="25" spans="1:18" x14ac:dyDescent="0.2">
      <c r="A25" s="450"/>
      <c r="B25" s="469"/>
      <c r="C25" s="469"/>
      <c r="D25" s="469"/>
      <c r="E25" s="466"/>
      <c r="F25" s="470"/>
      <c r="G25" s="453"/>
      <c r="H25" s="453"/>
    </row>
    <row r="26" spans="1:18" x14ac:dyDescent="0.2">
      <c r="A26" s="468"/>
      <c r="B26" s="471" t="s">
        <v>478</v>
      </c>
      <c r="C26" s="472"/>
      <c r="D26" s="473"/>
      <c r="E26" s="472"/>
      <c r="F26" s="474">
        <f>SUM(F15:F23)</f>
        <v>284807.29142106557</v>
      </c>
      <c r="G26" s="453"/>
      <c r="H26" s="456"/>
    </row>
    <row r="27" spans="1:18" x14ac:dyDescent="0.2">
      <c r="A27" s="468"/>
      <c r="B27" s="475" t="s">
        <v>170</v>
      </c>
      <c r="C27" s="472"/>
      <c r="D27" s="476"/>
      <c r="E27" s="472"/>
      <c r="F27" s="477">
        <f>F26*0.15</f>
        <v>42721.093713159833</v>
      </c>
      <c r="G27" s="453"/>
      <c r="H27" s="453"/>
    </row>
    <row r="28" spans="1:18" x14ac:dyDescent="0.2">
      <c r="A28" s="468"/>
      <c r="B28" s="475" t="s">
        <v>479</v>
      </c>
      <c r="C28" s="472"/>
      <c r="D28" s="476"/>
      <c r="E28" s="472"/>
      <c r="F28" s="477">
        <f>SUM(F26:F27)</f>
        <v>327528.38513422542</v>
      </c>
      <c r="G28" s="453"/>
      <c r="H28" s="456"/>
    </row>
    <row r="29" spans="1:18" x14ac:dyDescent="0.2">
      <c r="A29" s="468"/>
      <c r="B29" s="475" t="s">
        <v>480</v>
      </c>
      <c r="C29" s="472"/>
      <c r="D29" s="476"/>
      <c r="E29" s="472"/>
      <c r="F29" s="477">
        <f>F28*0.24</f>
        <v>78606.812432214094</v>
      </c>
      <c r="G29" s="453"/>
      <c r="H29" s="453"/>
    </row>
    <row r="30" spans="1:18" x14ac:dyDescent="0.2">
      <c r="A30" s="468"/>
      <c r="B30" s="471" t="s">
        <v>481</v>
      </c>
      <c r="C30" s="472"/>
      <c r="D30" s="476"/>
      <c r="E30" s="472"/>
      <c r="F30" s="474">
        <f>SUM(F28:F29)</f>
        <v>406135.19756643951</v>
      </c>
      <c r="G30" s="453"/>
      <c r="H30" s="456"/>
    </row>
    <row r="32" spans="1:18" x14ac:dyDescent="0.2">
      <c r="A32" s="457"/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</row>
    <row r="33" spans="1:9" x14ac:dyDescent="0.2">
      <c r="A33" s="647" t="s">
        <v>482</v>
      </c>
      <c r="B33" s="648"/>
      <c r="C33" s="648"/>
      <c r="D33" s="648"/>
      <c r="E33" s="648"/>
      <c r="F33" s="648"/>
      <c r="G33" s="648"/>
      <c r="H33" s="648"/>
    </row>
    <row r="34" spans="1:9" x14ac:dyDescent="0.2">
      <c r="A34" s="647" t="s">
        <v>483</v>
      </c>
      <c r="B34" s="648"/>
      <c r="C34" s="648"/>
      <c r="D34" s="648"/>
      <c r="E34" s="648"/>
      <c r="F34" s="648"/>
      <c r="G34" s="648"/>
      <c r="H34" s="648"/>
    </row>
    <row r="35" spans="1:9" x14ac:dyDescent="0.2">
      <c r="D35" s="338" t="s">
        <v>484</v>
      </c>
    </row>
    <row r="36" spans="1:9" x14ac:dyDescent="0.2">
      <c r="D36" s="338"/>
      <c r="G36" s="648" t="s">
        <v>485</v>
      </c>
      <c r="H36" s="648"/>
    </row>
    <row r="37" spans="1:9" x14ac:dyDescent="0.2">
      <c r="A37" s="450" t="s">
        <v>119</v>
      </c>
      <c r="B37" s="451"/>
      <c r="C37" s="451"/>
      <c r="D37" s="451"/>
      <c r="E37" s="451"/>
      <c r="F37" s="452">
        <f>'TOPO_XVRA- KOMBO ARXAIOL_XVROY'!J79</f>
        <v>66024.154999999999</v>
      </c>
      <c r="G37" s="451"/>
      <c r="H37" s="458">
        <v>16</v>
      </c>
      <c r="I37" s="338" t="s">
        <v>486</v>
      </c>
    </row>
    <row r="38" spans="1:9" x14ac:dyDescent="0.2">
      <c r="A38" s="450" t="s">
        <v>474</v>
      </c>
      <c r="B38" s="451"/>
      <c r="C38" s="451"/>
      <c r="D38" s="451"/>
      <c r="E38" s="451"/>
      <c r="F38" s="452">
        <f>SYGKOINVNIAKA!J100</f>
        <v>94043.579999999987</v>
      </c>
      <c r="G38" s="451"/>
      <c r="H38" s="458">
        <v>10</v>
      </c>
      <c r="I38" s="338" t="s">
        <v>486</v>
      </c>
    </row>
    <row r="39" spans="1:9" x14ac:dyDescent="0.2">
      <c r="A39" s="450" t="s">
        <v>475</v>
      </c>
      <c r="B39" s="451"/>
      <c r="C39" s="451"/>
      <c r="D39" s="451"/>
      <c r="E39" s="451"/>
      <c r="F39" s="452">
        <f>YDRAYLIKA!J33</f>
        <v>57746.07</v>
      </c>
      <c r="G39" s="451"/>
      <c r="H39" s="458">
        <v>13</v>
      </c>
      <c r="I39" s="338" t="s">
        <v>486</v>
      </c>
    </row>
    <row r="40" spans="1:9" x14ac:dyDescent="0.2">
      <c r="A40" s="450" t="s">
        <v>534</v>
      </c>
      <c r="B40" s="451"/>
      <c r="C40" s="451"/>
      <c r="D40" s="451"/>
      <c r="E40" s="451"/>
      <c r="F40" s="452">
        <f>ΣΤΑΤΙΚΑ!J30</f>
        <v>7596.7999999999993</v>
      </c>
      <c r="G40" s="451"/>
      <c r="H40" s="458">
        <v>8</v>
      </c>
      <c r="I40" s="338" t="s">
        <v>487</v>
      </c>
    </row>
    <row r="41" spans="1:9" x14ac:dyDescent="0.2">
      <c r="A41" s="450" t="s">
        <v>537</v>
      </c>
      <c r="B41" s="451"/>
      <c r="C41" s="451"/>
      <c r="D41" s="451"/>
      <c r="E41" s="451"/>
      <c r="F41" s="452">
        <f>PERIBALLONTIKA!J25</f>
        <v>29522.37</v>
      </c>
      <c r="G41" s="451"/>
      <c r="H41" s="458">
        <v>27</v>
      </c>
      <c r="I41" s="338" t="s">
        <v>487</v>
      </c>
    </row>
    <row r="42" spans="1:9" x14ac:dyDescent="0.2">
      <c r="A42" s="450" t="s">
        <v>538</v>
      </c>
      <c r="B42" s="451"/>
      <c r="C42" s="451"/>
      <c r="D42" s="451"/>
      <c r="E42" s="451"/>
      <c r="F42" s="454">
        <f>GEVLOGIKA!J43</f>
        <v>24012.611250000002</v>
      </c>
      <c r="G42" s="451"/>
      <c r="H42" s="458">
        <v>20</v>
      </c>
      <c r="I42" s="338" t="s">
        <v>487</v>
      </c>
    </row>
    <row r="43" spans="1:9" x14ac:dyDescent="0.2">
      <c r="A43" s="450" t="s">
        <v>526</v>
      </c>
      <c r="B43" s="451"/>
      <c r="C43" s="451"/>
      <c r="D43" s="451"/>
      <c r="E43" s="451"/>
      <c r="F43" s="452">
        <f>GEVTEXNIKA!J73</f>
        <v>32821.234465282891</v>
      </c>
      <c r="G43" s="451"/>
      <c r="H43" s="458">
        <v>21</v>
      </c>
      <c r="I43" s="338" t="s">
        <v>487</v>
      </c>
    </row>
    <row r="44" spans="1:9" x14ac:dyDescent="0.2">
      <c r="A44" s="450" t="s">
        <v>476</v>
      </c>
      <c r="B44" s="451"/>
      <c r="C44" s="451"/>
      <c r="D44" s="451"/>
      <c r="E44" s="451"/>
      <c r="F44" s="452">
        <f>HM!J26</f>
        <v>14388</v>
      </c>
      <c r="G44" s="451"/>
      <c r="H44" s="458">
        <v>9</v>
      </c>
      <c r="I44" s="338" t="s">
        <v>487</v>
      </c>
    </row>
    <row r="45" spans="1:9" x14ac:dyDescent="0.2">
      <c r="A45" s="338"/>
      <c r="F45" s="455"/>
      <c r="H45" s="459"/>
    </row>
    <row r="47" spans="1:9" x14ac:dyDescent="0.2">
      <c r="D47" s="338" t="s">
        <v>488</v>
      </c>
    </row>
    <row r="48" spans="1:9" x14ac:dyDescent="0.2">
      <c r="D48" s="338" t="s">
        <v>489</v>
      </c>
    </row>
  </sheetData>
  <mergeCells count="5">
    <mergeCell ref="A10:H11"/>
    <mergeCell ref="A33:H33"/>
    <mergeCell ref="A34:H34"/>
    <mergeCell ref="G36:H36"/>
    <mergeCell ref="E1:H4"/>
  </mergeCells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112"/>
  <sheetViews>
    <sheetView view="pageBreakPreview" zoomScaleSheetLayoutView="100" workbookViewId="0">
      <pane ySplit="1890" activePane="bottomLeft"/>
      <selection activeCell="P10" sqref="P10"/>
      <selection pane="bottomLeft" activeCell="G13" sqref="G13"/>
    </sheetView>
  </sheetViews>
  <sheetFormatPr defaultColWidth="9.140625" defaultRowHeight="12.75" x14ac:dyDescent="0.2"/>
  <cols>
    <col min="1" max="1" width="5.42578125" style="35" customWidth="1"/>
    <col min="2" max="2" width="5.85546875" style="26" customWidth="1"/>
    <col min="3" max="3" width="4" style="26" customWidth="1"/>
    <col min="4" max="4" width="5.140625" style="26" customWidth="1"/>
    <col min="5" max="5" width="6" style="26" customWidth="1"/>
    <col min="6" max="6" width="8.5703125" style="34" customWidth="1"/>
    <col min="7" max="7" width="8.28515625" style="35" customWidth="1"/>
    <col min="8" max="8" width="7.85546875" style="26" customWidth="1"/>
    <col min="9" max="9" width="10.85546875" style="26" customWidth="1"/>
    <col min="10" max="10" width="10.42578125" style="26" customWidth="1"/>
    <col min="11" max="11" width="9" style="26" customWidth="1"/>
    <col min="12" max="12" width="8.85546875" style="26" customWidth="1"/>
    <col min="13" max="13" width="25.140625" style="26" customWidth="1"/>
    <col min="14" max="14" width="11.85546875" style="26" customWidth="1"/>
    <col min="15" max="15" width="13.5703125" style="26" customWidth="1"/>
    <col min="16" max="16" width="9.140625" style="26" customWidth="1"/>
    <col min="17" max="17" width="13.7109375" style="26" customWidth="1"/>
    <col min="18" max="28" width="9.140625" style="26" customWidth="1"/>
    <col min="29" max="16384" width="9.140625" style="26"/>
  </cols>
  <sheetData>
    <row r="1" spans="1:16" s="191" customFormat="1" ht="15.95" customHeight="1" x14ac:dyDescent="0.2">
      <c r="A1" s="118" t="s">
        <v>0</v>
      </c>
      <c r="B1" s="36"/>
      <c r="C1" s="36"/>
      <c r="D1" s="36"/>
      <c r="E1" s="193"/>
      <c r="F1" s="193"/>
      <c r="G1" s="194"/>
      <c r="I1" s="111"/>
      <c r="J1" s="164"/>
    </row>
    <row r="2" spans="1:16" s="191" customFormat="1" ht="15.95" customHeight="1" x14ac:dyDescent="0.2">
      <c r="A2" s="118" t="s">
        <v>128</v>
      </c>
      <c r="B2" s="36"/>
      <c r="C2" s="36"/>
      <c r="D2" s="36"/>
      <c r="E2" s="193"/>
      <c r="F2" s="193"/>
      <c r="G2" s="194"/>
      <c r="J2" s="164"/>
    </row>
    <row r="3" spans="1:16" s="191" customFormat="1" ht="15.95" customHeight="1" x14ac:dyDescent="0.2">
      <c r="A3" s="118" t="s">
        <v>129</v>
      </c>
      <c r="B3" s="36"/>
      <c r="C3" s="36"/>
      <c r="D3" s="36"/>
      <c r="E3" s="193"/>
      <c r="F3" s="193"/>
      <c r="G3" s="194"/>
      <c r="I3" s="110"/>
      <c r="J3" s="164"/>
    </row>
    <row r="4" spans="1:16" s="191" customFormat="1" ht="15.95" customHeight="1" x14ac:dyDescent="0.2">
      <c r="A4" s="118" t="s">
        <v>130</v>
      </c>
      <c r="B4" s="36"/>
      <c r="C4" s="36"/>
      <c r="D4" s="36"/>
      <c r="E4" s="193"/>
      <c r="F4" s="193"/>
      <c r="G4" s="194"/>
      <c r="J4" s="164"/>
    </row>
    <row r="5" spans="1:16" s="191" customFormat="1" ht="15.95" customHeight="1" x14ac:dyDescent="0.2">
      <c r="A5" s="118" t="s">
        <v>131</v>
      </c>
      <c r="B5" s="36"/>
      <c r="C5" s="36"/>
      <c r="D5" s="36"/>
      <c r="E5" s="193"/>
      <c r="F5" s="193"/>
      <c r="G5" s="194"/>
      <c r="J5" s="164"/>
    </row>
    <row r="6" spans="1:16" s="191" customFormat="1" ht="15.95" customHeight="1" x14ac:dyDescent="0.2">
      <c r="A6" s="118" t="s">
        <v>132</v>
      </c>
      <c r="B6" s="228"/>
      <c r="C6" s="228"/>
      <c r="D6" s="164"/>
      <c r="E6" s="42"/>
      <c r="F6" s="42"/>
      <c r="G6" s="193"/>
      <c r="J6" s="164"/>
    </row>
    <row r="7" spans="1:16" ht="16.5" customHeight="1" x14ac:dyDescent="0.2">
      <c r="A7" s="643" t="s">
        <v>507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234"/>
      <c r="O7" s="150"/>
      <c r="P7" s="150"/>
    </row>
    <row r="8" spans="1:16" ht="13.5" customHeight="1" x14ac:dyDescent="0.2">
      <c r="A8" s="658" t="s">
        <v>404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238"/>
      <c r="O8" s="151"/>
      <c r="P8" s="151"/>
    </row>
    <row r="9" spans="1:16" ht="20.100000000000001" customHeight="1" x14ac:dyDescent="0.2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238"/>
      <c r="O9" s="151"/>
      <c r="P9" s="151"/>
    </row>
    <row r="10" spans="1:16" s="20" customFormat="1" ht="25.5" customHeight="1" x14ac:dyDescent="0.2">
      <c r="A10" s="669" t="s">
        <v>137</v>
      </c>
      <c r="B10" s="670"/>
      <c r="C10" s="670"/>
      <c r="D10" s="670"/>
      <c r="E10" s="671"/>
      <c r="F10" s="758" t="s">
        <v>134</v>
      </c>
      <c r="G10" s="761" t="s">
        <v>135</v>
      </c>
      <c r="H10" s="762"/>
      <c r="I10" s="763"/>
      <c r="J10" s="660" t="s">
        <v>136</v>
      </c>
      <c r="K10" s="669" t="s">
        <v>51</v>
      </c>
      <c r="L10" s="708"/>
      <c r="M10" s="709"/>
      <c r="N10" s="195"/>
      <c r="O10" s="106"/>
      <c r="P10" s="106"/>
    </row>
    <row r="11" spans="1:16" s="20" customFormat="1" ht="22.5" customHeight="1" x14ac:dyDescent="0.2">
      <c r="A11" s="666" t="s">
        <v>1</v>
      </c>
      <c r="B11" s="667"/>
      <c r="C11" s="667"/>
      <c r="D11" s="667"/>
      <c r="E11" s="668"/>
      <c r="F11" s="759"/>
      <c r="G11" s="660" t="s">
        <v>98</v>
      </c>
      <c r="H11" s="186" t="s">
        <v>125</v>
      </c>
      <c r="I11" s="660" t="s">
        <v>138</v>
      </c>
      <c r="J11" s="661"/>
      <c r="K11" s="710"/>
      <c r="L11" s="711"/>
      <c r="M11" s="712"/>
      <c r="N11" s="195"/>
      <c r="O11" s="195"/>
      <c r="P11" s="195"/>
    </row>
    <row r="12" spans="1:16" s="172" customFormat="1" ht="13.5" customHeight="1" x14ac:dyDescent="0.2">
      <c r="A12" s="230"/>
      <c r="B12" s="231"/>
      <c r="C12" s="231"/>
      <c r="D12" s="231"/>
      <c r="E12" s="232"/>
      <c r="F12" s="760"/>
      <c r="G12" s="672"/>
      <c r="H12" s="187"/>
      <c r="I12" s="662"/>
      <c r="J12" s="662"/>
      <c r="K12" s="710"/>
      <c r="L12" s="711"/>
      <c r="M12" s="712"/>
      <c r="N12" s="195"/>
      <c r="O12" s="195"/>
      <c r="P12" s="195"/>
    </row>
    <row r="13" spans="1:16" ht="21" customHeight="1" x14ac:dyDescent="0.2">
      <c r="A13" s="130"/>
      <c r="B13" s="20"/>
      <c r="C13" s="96"/>
      <c r="D13" s="129"/>
      <c r="E13" s="96"/>
      <c r="F13" s="95" t="s">
        <v>490</v>
      </c>
      <c r="G13" s="96">
        <v>1.1990000000000001</v>
      </c>
      <c r="H13" s="97"/>
      <c r="I13" s="478" t="s">
        <v>570</v>
      </c>
      <c r="J13" s="227"/>
      <c r="K13" s="713"/>
      <c r="L13" s="714"/>
      <c r="M13" s="715"/>
      <c r="N13" s="195"/>
      <c r="O13" s="195"/>
      <c r="P13" s="195"/>
    </row>
    <row r="14" spans="1:16" s="18" customFormat="1" ht="15" customHeight="1" x14ac:dyDescent="0.2">
      <c r="A14" s="663" t="s">
        <v>119</v>
      </c>
      <c r="B14" s="664"/>
      <c r="C14" s="664"/>
      <c r="D14" s="664"/>
      <c r="E14" s="665"/>
      <c r="F14" s="27"/>
      <c r="G14" s="174"/>
      <c r="H14" s="23"/>
      <c r="I14" s="23"/>
      <c r="J14" s="23"/>
      <c r="K14" s="23"/>
      <c r="L14" s="23"/>
      <c r="M14" s="23"/>
      <c r="N14" s="59"/>
      <c r="O14" s="59"/>
      <c r="P14" s="59"/>
    </row>
    <row r="15" spans="1:16" s="18" customFormat="1" ht="15" customHeight="1" x14ac:dyDescent="0.2">
      <c r="A15" s="175"/>
      <c r="B15" s="61" t="s">
        <v>48</v>
      </c>
      <c r="C15" s="62"/>
      <c r="D15" s="62"/>
      <c r="E15" s="63"/>
      <c r="F15" s="163"/>
      <c r="G15" s="162"/>
      <c r="H15" s="173"/>
      <c r="I15" s="173"/>
      <c r="J15" s="173"/>
      <c r="K15" s="173"/>
      <c r="L15" s="173"/>
      <c r="M15" s="173"/>
      <c r="N15" s="19"/>
      <c r="O15" s="19"/>
      <c r="P15" s="19"/>
    </row>
    <row r="16" spans="1:16" s="18" customFormat="1" ht="15" customHeight="1" x14ac:dyDescent="0.2">
      <c r="A16" s="162"/>
      <c r="B16" s="64" t="s">
        <v>40</v>
      </c>
      <c r="C16" s="93"/>
      <c r="D16" s="93"/>
      <c r="E16" s="94"/>
      <c r="F16" s="166"/>
      <c r="G16" s="160"/>
      <c r="H16" s="161"/>
      <c r="I16" s="161"/>
      <c r="J16" s="161"/>
      <c r="K16" s="161"/>
      <c r="L16" s="161"/>
      <c r="M16" s="161"/>
      <c r="N16" s="19"/>
      <c r="O16" s="19"/>
      <c r="P16" s="19"/>
    </row>
    <row r="17" spans="1:16" s="18" customFormat="1" ht="21" customHeight="1" x14ac:dyDescent="0.2">
      <c r="A17" s="726" t="s">
        <v>25</v>
      </c>
      <c r="B17" s="729" t="s">
        <v>123</v>
      </c>
      <c r="C17" s="730"/>
      <c r="D17" s="730"/>
      <c r="E17" s="731"/>
      <c r="F17" s="735" t="s">
        <v>2</v>
      </c>
      <c r="G17" s="726" t="s">
        <v>5</v>
      </c>
      <c r="H17" s="738">
        <v>7</v>
      </c>
      <c r="I17" s="722">
        <f>ROUND(800*$G$13,2)</f>
        <v>959.2</v>
      </c>
      <c r="J17" s="722">
        <f>H17*I17</f>
        <v>6714.4000000000005</v>
      </c>
      <c r="K17" s="134" t="s">
        <v>445</v>
      </c>
      <c r="L17" s="719" t="s">
        <v>74</v>
      </c>
      <c r="M17" s="720"/>
      <c r="N17" s="764" t="s">
        <v>405</v>
      </c>
      <c r="O17" s="765"/>
      <c r="P17" s="107"/>
    </row>
    <row r="18" spans="1:16" s="18" customFormat="1" ht="17.25" customHeight="1" x14ac:dyDescent="0.2">
      <c r="A18" s="727"/>
      <c r="B18" s="732"/>
      <c r="C18" s="733"/>
      <c r="D18" s="733"/>
      <c r="E18" s="707"/>
      <c r="F18" s="736"/>
      <c r="G18" s="727"/>
      <c r="H18" s="739"/>
      <c r="I18" s="725"/>
      <c r="J18" s="723"/>
      <c r="K18" s="169" t="s">
        <v>102</v>
      </c>
      <c r="L18" s="721" t="s">
        <v>75</v>
      </c>
      <c r="M18" s="678"/>
      <c r="N18" s="241"/>
      <c r="O18" s="108"/>
      <c r="P18" s="108"/>
    </row>
    <row r="19" spans="1:16" s="18" customFormat="1" ht="16.5" customHeight="1" x14ac:dyDescent="0.2">
      <c r="A19" s="728"/>
      <c r="B19" s="734"/>
      <c r="C19" s="703"/>
      <c r="D19" s="703"/>
      <c r="E19" s="704"/>
      <c r="F19" s="737"/>
      <c r="G19" s="728"/>
      <c r="H19" s="740"/>
      <c r="I19" s="724"/>
      <c r="J19" s="724"/>
      <c r="K19" s="716" t="s">
        <v>52</v>
      </c>
      <c r="L19" s="717"/>
      <c r="M19" s="718"/>
      <c r="N19" s="282" t="s">
        <v>351</v>
      </c>
      <c r="O19" s="107"/>
      <c r="P19" s="107"/>
    </row>
    <row r="20" spans="1:16" s="18" customFormat="1" ht="15" customHeight="1" x14ac:dyDescent="0.2">
      <c r="A20" s="726" t="s">
        <v>26</v>
      </c>
      <c r="B20" s="729" t="s">
        <v>6</v>
      </c>
      <c r="C20" s="730"/>
      <c r="D20" s="730"/>
      <c r="E20" s="731"/>
      <c r="F20" s="735" t="s">
        <v>2</v>
      </c>
      <c r="G20" s="726" t="s">
        <v>5</v>
      </c>
      <c r="H20" s="738">
        <v>4</v>
      </c>
      <c r="I20" s="722">
        <f>ROUND(65*$G$13,2)</f>
        <v>77.94</v>
      </c>
      <c r="J20" s="722">
        <f>H20*I20</f>
        <v>311.76</v>
      </c>
      <c r="K20" s="135" t="s">
        <v>446</v>
      </c>
      <c r="L20" s="719" t="s">
        <v>76</v>
      </c>
      <c r="M20" s="720"/>
      <c r="N20" s="241"/>
      <c r="O20" s="107"/>
      <c r="P20" s="107"/>
    </row>
    <row r="21" spans="1:16" s="18" customFormat="1" ht="15" customHeight="1" x14ac:dyDescent="0.2">
      <c r="A21" s="727"/>
      <c r="B21" s="732"/>
      <c r="C21" s="733"/>
      <c r="D21" s="733"/>
      <c r="E21" s="707"/>
      <c r="F21" s="736"/>
      <c r="G21" s="727"/>
      <c r="H21" s="739"/>
      <c r="I21" s="725"/>
      <c r="J21" s="723"/>
      <c r="K21" s="136" t="s">
        <v>78</v>
      </c>
      <c r="L21" s="137" t="s">
        <v>77</v>
      </c>
      <c r="M21" s="141"/>
      <c r="O21" s="108"/>
      <c r="P21" s="108"/>
    </row>
    <row r="22" spans="1:16" s="18" customFormat="1" ht="15" customHeight="1" x14ac:dyDescent="0.2">
      <c r="A22" s="728"/>
      <c r="B22" s="734"/>
      <c r="C22" s="703"/>
      <c r="D22" s="703"/>
      <c r="E22" s="704"/>
      <c r="F22" s="737"/>
      <c r="G22" s="728"/>
      <c r="H22" s="740"/>
      <c r="I22" s="724"/>
      <c r="J22" s="724"/>
      <c r="K22" s="716" t="s">
        <v>52</v>
      </c>
      <c r="L22" s="717"/>
      <c r="M22" s="718"/>
      <c r="N22" s="242"/>
      <c r="O22" s="107"/>
      <c r="P22" s="107"/>
    </row>
    <row r="23" spans="1:16" s="18" customFormat="1" ht="12.6" customHeight="1" x14ac:dyDescent="0.2">
      <c r="A23" s="726" t="s">
        <v>27</v>
      </c>
      <c r="B23" s="746" t="s">
        <v>7</v>
      </c>
      <c r="C23" s="747"/>
      <c r="D23" s="747"/>
      <c r="E23" s="748"/>
      <c r="F23" s="735" t="s">
        <v>2</v>
      </c>
      <c r="G23" s="726" t="s">
        <v>5</v>
      </c>
      <c r="H23" s="738">
        <v>3</v>
      </c>
      <c r="I23" s="722">
        <f>ROUND(65*$G$13,2)</f>
        <v>77.94</v>
      </c>
      <c r="J23" s="722">
        <f>H23*I23</f>
        <v>233.82</v>
      </c>
      <c r="K23" s="350" t="s">
        <v>447</v>
      </c>
      <c r="L23" s="684" t="s">
        <v>448</v>
      </c>
      <c r="M23" s="685"/>
      <c r="N23" s="282" t="s">
        <v>351</v>
      </c>
      <c r="O23" s="107"/>
      <c r="P23" s="107"/>
    </row>
    <row r="24" spans="1:16" s="18" customFormat="1" ht="15" customHeight="1" x14ac:dyDescent="0.2">
      <c r="A24" s="727"/>
      <c r="B24" s="749"/>
      <c r="C24" s="750"/>
      <c r="D24" s="750"/>
      <c r="E24" s="751"/>
      <c r="F24" s="736"/>
      <c r="G24" s="727"/>
      <c r="H24" s="739"/>
      <c r="I24" s="725"/>
      <c r="J24" s="723"/>
      <c r="K24" s="352" t="s">
        <v>449</v>
      </c>
      <c r="L24" s="684" t="s">
        <v>450</v>
      </c>
      <c r="M24" s="685"/>
      <c r="N24" s="242"/>
      <c r="O24" s="108"/>
      <c r="P24" s="108"/>
    </row>
    <row r="25" spans="1:16" s="18" customFormat="1" ht="15" customHeight="1" x14ac:dyDescent="0.2">
      <c r="A25" s="728"/>
      <c r="B25" s="752"/>
      <c r="C25" s="753"/>
      <c r="D25" s="753"/>
      <c r="E25" s="754"/>
      <c r="F25" s="737"/>
      <c r="G25" s="728"/>
      <c r="H25" s="740"/>
      <c r="I25" s="724"/>
      <c r="J25" s="724"/>
      <c r="K25" s="679" t="s">
        <v>52</v>
      </c>
      <c r="L25" s="680"/>
      <c r="M25" s="681"/>
      <c r="N25" s="242"/>
      <c r="O25" s="107"/>
      <c r="P25" s="107"/>
    </row>
    <row r="26" spans="1:16" s="18" customFormat="1" ht="15" customHeight="1" x14ac:dyDescent="0.2">
      <c r="A26" s="140"/>
      <c r="B26" s="196"/>
      <c r="C26" s="197"/>
      <c r="D26" s="197"/>
      <c r="E26" s="198"/>
      <c r="F26" s="167"/>
      <c r="G26" s="165"/>
      <c r="H26" s="180"/>
      <c r="I26" s="67" t="s">
        <v>59</v>
      </c>
      <c r="J26" s="168">
        <f>SUM(J17:J23)</f>
        <v>7259.9800000000005</v>
      </c>
      <c r="K26" s="168"/>
      <c r="L26" s="168"/>
      <c r="M26" s="168"/>
      <c r="N26" s="19"/>
      <c r="O26" s="107"/>
      <c r="P26" s="107"/>
    </row>
    <row r="27" spans="1:16" s="18" customFormat="1" ht="15" customHeight="1" x14ac:dyDescent="0.2">
      <c r="A27" s="162"/>
      <c r="B27" s="64" t="s">
        <v>42</v>
      </c>
      <c r="C27" s="65"/>
      <c r="D27" s="65"/>
      <c r="E27" s="66"/>
      <c r="F27" s="166"/>
      <c r="G27" s="160"/>
      <c r="H27" s="171"/>
      <c r="I27" s="161"/>
      <c r="J27" s="161"/>
      <c r="K27" s="161"/>
      <c r="L27" s="161"/>
      <c r="M27" s="161"/>
      <c r="N27" s="19"/>
      <c r="O27" s="19"/>
      <c r="P27" s="19"/>
    </row>
    <row r="28" spans="1:16" s="18" customFormat="1" ht="26.25" customHeight="1" x14ac:dyDescent="0.2">
      <c r="A28" s="727" t="s">
        <v>510</v>
      </c>
      <c r="B28" s="746" t="s">
        <v>85</v>
      </c>
      <c r="C28" s="747"/>
      <c r="D28" s="747"/>
      <c r="E28" s="748"/>
      <c r="F28" s="735" t="s">
        <v>3</v>
      </c>
      <c r="G28" s="726" t="s">
        <v>5</v>
      </c>
      <c r="H28" s="738">
        <v>50</v>
      </c>
      <c r="I28" s="722">
        <f>ROUND(50*$G$13,2)</f>
        <v>59.95</v>
      </c>
      <c r="J28" s="722">
        <f>H28*I28</f>
        <v>2997.5</v>
      </c>
      <c r="K28" s="350" t="s">
        <v>451</v>
      </c>
      <c r="L28" s="684" t="s">
        <v>452</v>
      </c>
      <c r="M28" s="685"/>
      <c r="N28" s="241"/>
      <c r="O28" s="107"/>
      <c r="P28" s="107"/>
    </row>
    <row r="29" spans="1:16" s="18" customFormat="1" ht="15" customHeight="1" x14ac:dyDescent="0.2">
      <c r="A29" s="727"/>
      <c r="B29" s="749"/>
      <c r="C29" s="750"/>
      <c r="D29" s="750"/>
      <c r="E29" s="751"/>
      <c r="F29" s="736"/>
      <c r="G29" s="727"/>
      <c r="H29" s="739"/>
      <c r="I29" s="725"/>
      <c r="J29" s="723"/>
      <c r="K29" s="352" t="s">
        <v>454</v>
      </c>
      <c r="L29" s="433" t="s">
        <v>453</v>
      </c>
      <c r="M29" s="353"/>
      <c r="N29" s="242"/>
      <c r="O29" s="108"/>
      <c r="P29" s="108"/>
    </row>
    <row r="30" spans="1:16" s="18" customFormat="1" ht="15" customHeight="1" x14ac:dyDescent="0.2">
      <c r="A30" s="728"/>
      <c r="B30" s="752"/>
      <c r="C30" s="753"/>
      <c r="D30" s="753"/>
      <c r="E30" s="754"/>
      <c r="F30" s="737"/>
      <c r="G30" s="728"/>
      <c r="H30" s="740"/>
      <c r="I30" s="724"/>
      <c r="J30" s="724"/>
      <c r="K30" s="679" t="s">
        <v>52</v>
      </c>
      <c r="L30" s="680"/>
      <c r="M30" s="681"/>
      <c r="N30" s="242"/>
      <c r="O30" s="107"/>
      <c r="P30" s="107"/>
    </row>
    <row r="31" spans="1:16" s="18" customFormat="1" ht="15" customHeight="1" x14ac:dyDescent="0.2">
      <c r="A31" s="165"/>
      <c r="B31" s="196"/>
      <c r="C31" s="197"/>
      <c r="D31" s="197"/>
      <c r="E31" s="198"/>
      <c r="F31" s="167"/>
      <c r="G31" s="165"/>
      <c r="H31" s="180"/>
      <c r="I31" s="67" t="s">
        <v>59</v>
      </c>
      <c r="J31" s="168">
        <f>SUM(J28:J28)</f>
        <v>2997.5</v>
      </c>
      <c r="K31" s="168"/>
      <c r="L31" s="168"/>
      <c r="M31" s="168"/>
      <c r="N31" s="19"/>
      <c r="O31" s="107"/>
      <c r="P31" s="107"/>
    </row>
    <row r="32" spans="1:16" s="18" customFormat="1" ht="15" customHeight="1" x14ac:dyDescent="0.2">
      <c r="A32" s="162"/>
      <c r="B32" s="64" t="s">
        <v>43</v>
      </c>
      <c r="C32" s="65"/>
      <c r="D32" s="65"/>
      <c r="E32" s="66"/>
      <c r="F32" s="166"/>
      <c r="G32" s="160"/>
      <c r="H32" s="171"/>
      <c r="I32" s="161"/>
      <c r="J32" s="161"/>
      <c r="K32" s="161"/>
      <c r="L32" s="161"/>
      <c r="M32" s="161"/>
      <c r="N32" s="19"/>
      <c r="O32" s="19"/>
      <c r="P32" s="19"/>
    </row>
    <row r="33" spans="1:16" s="18" customFormat="1" ht="12.6" customHeight="1" x14ac:dyDescent="0.2">
      <c r="A33" s="726" t="s">
        <v>28</v>
      </c>
      <c r="B33" s="746" t="s">
        <v>11</v>
      </c>
      <c r="C33" s="747"/>
      <c r="D33" s="747"/>
      <c r="E33" s="748"/>
      <c r="F33" s="735" t="s">
        <v>4</v>
      </c>
      <c r="G33" s="726" t="s">
        <v>10</v>
      </c>
      <c r="H33" s="741">
        <v>4.5</v>
      </c>
      <c r="I33" s="722">
        <f>ROUND(65*$G$13,2)</f>
        <v>77.94</v>
      </c>
      <c r="J33" s="722">
        <f>H33*I33</f>
        <v>350.73</v>
      </c>
      <c r="K33" s="350" t="s">
        <v>455</v>
      </c>
      <c r="L33" s="684" t="s">
        <v>456</v>
      </c>
      <c r="M33" s="685"/>
      <c r="N33" s="241"/>
      <c r="O33" s="107"/>
      <c r="P33" s="107"/>
    </row>
    <row r="34" spans="1:16" s="18" customFormat="1" ht="15" customHeight="1" x14ac:dyDescent="0.2">
      <c r="A34" s="727"/>
      <c r="B34" s="749"/>
      <c r="C34" s="750"/>
      <c r="D34" s="750"/>
      <c r="E34" s="751"/>
      <c r="F34" s="736"/>
      <c r="G34" s="727"/>
      <c r="H34" s="742"/>
      <c r="I34" s="725"/>
      <c r="J34" s="723"/>
      <c r="K34" s="352" t="s">
        <v>457</v>
      </c>
      <c r="L34" s="433" t="s">
        <v>458</v>
      </c>
      <c r="M34" s="353"/>
      <c r="N34" s="242"/>
      <c r="O34" s="108"/>
      <c r="P34" s="108"/>
    </row>
    <row r="35" spans="1:16" s="18" customFormat="1" ht="15" customHeight="1" x14ac:dyDescent="0.2">
      <c r="A35" s="728"/>
      <c r="B35" s="752"/>
      <c r="C35" s="753"/>
      <c r="D35" s="753"/>
      <c r="E35" s="754"/>
      <c r="F35" s="737"/>
      <c r="G35" s="728"/>
      <c r="H35" s="743"/>
      <c r="I35" s="724"/>
      <c r="J35" s="724"/>
      <c r="K35" s="679" t="s">
        <v>55</v>
      </c>
      <c r="L35" s="680"/>
      <c r="M35" s="681"/>
      <c r="N35" s="242"/>
      <c r="O35" s="107"/>
      <c r="P35" s="107"/>
    </row>
    <row r="36" spans="1:16" s="18" customFormat="1" ht="12.6" customHeight="1" x14ac:dyDescent="0.2">
      <c r="A36" s="726" t="s">
        <v>29</v>
      </c>
      <c r="B36" s="746" t="s">
        <v>53</v>
      </c>
      <c r="C36" s="747"/>
      <c r="D36" s="747"/>
      <c r="E36" s="748"/>
      <c r="F36" s="735" t="s">
        <v>4</v>
      </c>
      <c r="G36" s="726" t="s">
        <v>10</v>
      </c>
      <c r="H36" s="741">
        <v>4.5</v>
      </c>
      <c r="I36" s="722">
        <f>ROUND(100*$G$13,2)</f>
        <v>119.9</v>
      </c>
      <c r="J36" s="722">
        <f>H36*I36</f>
        <v>539.55000000000007</v>
      </c>
      <c r="K36" s="350" t="s">
        <v>455</v>
      </c>
      <c r="L36" s="684" t="s">
        <v>456</v>
      </c>
      <c r="M36" s="685"/>
      <c r="N36" s="241"/>
      <c r="O36" s="107"/>
      <c r="P36" s="107"/>
    </row>
    <row r="37" spans="1:16" s="18" customFormat="1" ht="15" customHeight="1" x14ac:dyDescent="0.2">
      <c r="A37" s="727"/>
      <c r="B37" s="749"/>
      <c r="C37" s="750"/>
      <c r="D37" s="750"/>
      <c r="E37" s="751"/>
      <c r="F37" s="736"/>
      <c r="G37" s="727"/>
      <c r="H37" s="742"/>
      <c r="I37" s="725"/>
      <c r="J37" s="723"/>
      <c r="K37" s="352" t="s">
        <v>459</v>
      </c>
      <c r="L37" s="433" t="s">
        <v>458</v>
      </c>
      <c r="M37" s="353"/>
      <c r="N37" s="242"/>
      <c r="O37" s="108"/>
      <c r="P37" s="108"/>
    </row>
    <row r="38" spans="1:16" s="18" customFormat="1" ht="15" customHeight="1" x14ac:dyDescent="0.2">
      <c r="A38" s="728"/>
      <c r="B38" s="752"/>
      <c r="C38" s="753"/>
      <c r="D38" s="753"/>
      <c r="E38" s="754"/>
      <c r="F38" s="737"/>
      <c r="G38" s="728"/>
      <c r="H38" s="743"/>
      <c r="I38" s="724"/>
      <c r="J38" s="724"/>
      <c r="K38" s="679" t="s">
        <v>55</v>
      </c>
      <c r="L38" s="680"/>
      <c r="M38" s="681"/>
      <c r="N38" s="242"/>
      <c r="O38" s="107"/>
      <c r="P38" s="107"/>
    </row>
    <row r="39" spans="1:16" s="18" customFormat="1" ht="15" customHeight="1" x14ac:dyDescent="0.2">
      <c r="A39" s="726" t="s">
        <v>30</v>
      </c>
      <c r="B39" s="746" t="s">
        <v>12</v>
      </c>
      <c r="C39" s="747"/>
      <c r="D39" s="747"/>
      <c r="E39" s="748"/>
      <c r="F39" s="735" t="s">
        <v>4</v>
      </c>
      <c r="G39" s="726" t="s">
        <v>5</v>
      </c>
      <c r="H39" s="738">
        <v>5</v>
      </c>
      <c r="I39" s="722">
        <f>ROUND(26*$G$13,2)</f>
        <v>31.17</v>
      </c>
      <c r="J39" s="722">
        <f>H39*I39</f>
        <v>155.85000000000002</v>
      </c>
      <c r="K39" s="351" t="s">
        <v>460</v>
      </c>
      <c r="L39" s="351" t="s">
        <v>461</v>
      </c>
      <c r="M39" s="349"/>
      <c r="N39" s="242"/>
      <c r="O39" s="107"/>
      <c r="P39" s="107"/>
    </row>
    <row r="40" spans="1:16" s="18" customFormat="1" ht="15" customHeight="1" x14ac:dyDescent="0.2">
      <c r="A40" s="727"/>
      <c r="B40" s="749"/>
      <c r="C40" s="750"/>
      <c r="D40" s="750"/>
      <c r="E40" s="751"/>
      <c r="F40" s="736"/>
      <c r="G40" s="727"/>
      <c r="H40" s="739"/>
      <c r="I40" s="725"/>
      <c r="J40" s="723"/>
      <c r="K40" s="352" t="s">
        <v>462</v>
      </c>
      <c r="L40" s="433" t="s">
        <v>463</v>
      </c>
      <c r="M40" s="353"/>
      <c r="N40" s="242"/>
      <c r="O40" s="108"/>
      <c r="P40" s="108"/>
    </row>
    <row r="41" spans="1:16" s="18" customFormat="1" ht="15" customHeight="1" x14ac:dyDescent="0.2">
      <c r="A41" s="728"/>
      <c r="B41" s="752"/>
      <c r="C41" s="753"/>
      <c r="D41" s="753"/>
      <c r="E41" s="754"/>
      <c r="F41" s="737"/>
      <c r="G41" s="728"/>
      <c r="H41" s="740"/>
      <c r="I41" s="724"/>
      <c r="J41" s="724"/>
      <c r="K41" s="679" t="s">
        <v>52</v>
      </c>
      <c r="L41" s="680"/>
      <c r="M41" s="681"/>
      <c r="N41" s="242"/>
      <c r="O41" s="107"/>
      <c r="P41" s="107"/>
    </row>
    <row r="42" spans="1:16" s="18" customFormat="1" ht="15" customHeight="1" x14ac:dyDescent="0.2">
      <c r="A42" s="183"/>
      <c r="B42" s="199"/>
      <c r="C42" s="200"/>
      <c r="D42" s="200"/>
      <c r="E42" s="201"/>
      <c r="F42" s="184"/>
      <c r="G42" s="183"/>
      <c r="H42" s="182"/>
      <c r="I42" s="71" t="s">
        <v>59</v>
      </c>
      <c r="J42" s="181">
        <f>SUM(J33:J39)</f>
        <v>1046.1300000000001</v>
      </c>
      <c r="K42" s="126"/>
      <c r="L42" s="127"/>
      <c r="M42" s="84"/>
      <c r="N42" s="19"/>
      <c r="O42" s="107"/>
      <c r="P42" s="107"/>
    </row>
    <row r="43" spans="1:16" s="18" customFormat="1" ht="15" customHeight="1" x14ac:dyDescent="0.2">
      <c r="A43" s="174"/>
      <c r="B43" s="77" t="s">
        <v>47</v>
      </c>
      <c r="C43" s="77"/>
      <c r="D43" s="77"/>
      <c r="E43" s="77"/>
      <c r="F43" s="27"/>
      <c r="G43" s="174"/>
      <c r="H43" s="177"/>
      <c r="I43" s="179"/>
      <c r="J43" s="179"/>
      <c r="K43" s="179"/>
      <c r="L43" s="179"/>
      <c r="M43" s="179"/>
      <c r="N43" s="19"/>
      <c r="O43" s="19"/>
      <c r="P43" s="19"/>
    </row>
    <row r="44" spans="1:16" s="18" customFormat="1" ht="15" customHeight="1" x14ac:dyDescent="0.2">
      <c r="A44" s="176"/>
      <c r="B44" s="78" t="s">
        <v>44</v>
      </c>
      <c r="C44" s="78"/>
      <c r="D44" s="78"/>
      <c r="E44" s="78"/>
      <c r="F44" s="70"/>
      <c r="G44" s="176"/>
      <c r="H44" s="178"/>
      <c r="I44" s="60"/>
      <c r="J44" s="60"/>
      <c r="K44" s="60"/>
      <c r="L44" s="60"/>
      <c r="M44" s="60"/>
      <c r="N44" s="19"/>
      <c r="O44" s="19"/>
      <c r="P44" s="19"/>
    </row>
    <row r="45" spans="1:16" s="18" customFormat="1" ht="28.5" customHeight="1" x14ac:dyDescent="0.2">
      <c r="A45" s="727" t="s">
        <v>31</v>
      </c>
      <c r="B45" s="755" t="s">
        <v>117</v>
      </c>
      <c r="C45" s="756"/>
      <c r="D45" s="756"/>
      <c r="E45" s="757"/>
      <c r="F45" s="736" t="s">
        <v>140</v>
      </c>
      <c r="G45" s="727" t="s">
        <v>8</v>
      </c>
      <c r="H45" s="742">
        <v>680</v>
      </c>
      <c r="I45" s="725">
        <f>ROUND(30*$G$13,2)</f>
        <v>35.97</v>
      </c>
      <c r="J45" s="725">
        <f>H45*I45</f>
        <v>24459.599999999999</v>
      </c>
      <c r="K45" s="684" t="s">
        <v>406</v>
      </c>
      <c r="L45" s="694"/>
      <c r="M45" s="695"/>
      <c r="N45" s="241"/>
      <c r="O45" s="107"/>
      <c r="P45" s="107"/>
    </row>
    <row r="46" spans="1:16" s="18" customFormat="1" ht="14.25" customHeight="1" x14ac:dyDescent="0.2">
      <c r="A46" s="727"/>
      <c r="B46" s="749"/>
      <c r="C46" s="750"/>
      <c r="D46" s="750"/>
      <c r="E46" s="751"/>
      <c r="F46" s="736"/>
      <c r="G46" s="727"/>
      <c r="H46" s="742"/>
      <c r="I46" s="725"/>
      <c r="J46" s="723"/>
      <c r="K46" s="696" t="s">
        <v>103</v>
      </c>
      <c r="L46" s="697"/>
      <c r="M46" s="698"/>
      <c r="N46" s="241"/>
      <c r="O46" s="108"/>
      <c r="P46" s="108"/>
    </row>
    <row r="47" spans="1:16" s="18" customFormat="1" ht="26.45" customHeight="1" x14ac:dyDescent="0.2">
      <c r="A47" s="728"/>
      <c r="B47" s="752"/>
      <c r="C47" s="753"/>
      <c r="D47" s="753"/>
      <c r="E47" s="754"/>
      <c r="F47" s="737"/>
      <c r="G47" s="728"/>
      <c r="H47" s="743"/>
      <c r="I47" s="724"/>
      <c r="J47" s="724"/>
      <c r="K47" s="679" t="s">
        <v>54</v>
      </c>
      <c r="L47" s="680"/>
      <c r="M47" s="681"/>
      <c r="N47" s="242"/>
      <c r="O47" s="107"/>
      <c r="P47" s="107"/>
    </row>
    <row r="48" spans="1:16" s="18" customFormat="1" ht="23.45" customHeight="1" x14ac:dyDescent="0.2">
      <c r="A48" s="726" t="s">
        <v>32</v>
      </c>
      <c r="B48" s="746" t="s">
        <v>9</v>
      </c>
      <c r="C48" s="747"/>
      <c r="D48" s="747"/>
      <c r="E48" s="748"/>
      <c r="F48" s="735" t="s">
        <v>140</v>
      </c>
      <c r="G48" s="726" t="s">
        <v>8</v>
      </c>
      <c r="H48" s="741">
        <v>10</v>
      </c>
      <c r="I48" s="722">
        <f>ROUND(18*$G$13,2)</f>
        <v>21.58</v>
      </c>
      <c r="J48" s="722">
        <f>H48*I48</f>
        <v>215.79999999999998</v>
      </c>
      <c r="K48" s="688" t="s">
        <v>407</v>
      </c>
      <c r="L48" s="689"/>
      <c r="M48" s="690"/>
      <c r="N48" s="241"/>
      <c r="O48" s="107"/>
      <c r="P48" s="107"/>
    </row>
    <row r="49" spans="1:16" s="18" customFormat="1" ht="26.45" customHeight="1" x14ac:dyDescent="0.2">
      <c r="A49" s="727"/>
      <c r="B49" s="749"/>
      <c r="C49" s="750"/>
      <c r="D49" s="750"/>
      <c r="E49" s="751"/>
      <c r="F49" s="736"/>
      <c r="G49" s="727"/>
      <c r="H49" s="742"/>
      <c r="I49" s="725"/>
      <c r="J49" s="723"/>
      <c r="K49" s="691" t="s">
        <v>104</v>
      </c>
      <c r="L49" s="692"/>
      <c r="M49" s="693"/>
      <c r="N49" s="241"/>
      <c r="O49" s="108"/>
      <c r="P49" s="108"/>
    </row>
    <row r="50" spans="1:16" s="18" customFormat="1" ht="12.75" customHeight="1" x14ac:dyDescent="0.2">
      <c r="A50" s="728"/>
      <c r="B50" s="752"/>
      <c r="C50" s="753"/>
      <c r="D50" s="753"/>
      <c r="E50" s="754"/>
      <c r="F50" s="737"/>
      <c r="G50" s="728"/>
      <c r="H50" s="743"/>
      <c r="I50" s="724"/>
      <c r="J50" s="724"/>
      <c r="K50" s="702" t="s">
        <v>54</v>
      </c>
      <c r="L50" s="703"/>
      <c r="M50" s="704"/>
      <c r="N50" s="242"/>
      <c r="O50" s="107"/>
      <c r="P50" s="107"/>
    </row>
    <row r="51" spans="1:16" s="18" customFormat="1" ht="12" customHeight="1" x14ac:dyDescent="0.2">
      <c r="A51" s="165"/>
      <c r="B51" s="202"/>
      <c r="C51" s="203"/>
      <c r="D51" s="203"/>
      <c r="E51" s="204"/>
      <c r="F51" s="167"/>
      <c r="G51" s="165"/>
      <c r="H51" s="180"/>
      <c r="I51" s="67" t="s">
        <v>59</v>
      </c>
      <c r="J51" s="168">
        <f>SUM(J45:J48)</f>
        <v>24675.399999999998</v>
      </c>
      <c r="K51" s="173"/>
      <c r="L51" s="168"/>
      <c r="M51" s="168"/>
      <c r="N51" s="19"/>
      <c r="O51" s="107"/>
      <c r="P51" s="107"/>
    </row>
    <row r="52" spans="1:16" s="18" customFormat="1" ht="14.25" customHeight="1" x14ac:dyDescent="0.2">
      <c r="A52" s="175"/>
      <c r="B52" s="45" t="s">
        <v>50</v>
      </c>
      <c r="C52" s="46"/>
      <c r="D52" s="46"/>
      <c r="E52" s="47"/>
      <c r="F52" s="13"/>
      <c r="G52" s="175"/>
      <c r="H52" s="11"/>
      <c r="I52" s="11"/>
      <c r="J52" s="11"/>
      <c r="K52" s="11"/>
      <c r="L52" s="11"/>
      <c r="M52" s="11"/>
      <c r="N52" s="19"/>
      <c r="O52" s="19"/>
      <c r="P52" s="19"/>
    </row>
    <row r="53" spans="1:16" s="18" customFormat="1" ht="11.25" customHeight="1" x14ac:dyDescent="0.2">
      <c r="A53" s="162"/>
      <c r="B53" s="61" t="s">
        <v>41</v>
      </c>
      <c r="C53" s="62"/>
      <c r="D53" s="62"/>
      <c r="E53" s="63"/>
      <c r="F53" s="163"/>
      <c r="G53" s="162"/>
      <c r="H53" s="173"/>
      <c r="I53" s="173"/>
      <c r="J53" s="173"/>
      <c r="K53" s="173"/>
      <c r="L53" s="173"/>
      <c r="M53" s="173"/>
      <c r="N53" s="19"/>
      <c r="O53" s="19"/>
      <c r="P53" s="19"/>
    </row>
    <row r="54" spans="1:16" s="18" customFormat="1" ht="15" customHeight="1" x14ac:dyDescent="0.2">
      <c r="A54" s="726" t="s">
        <v>33</v>
      </c>
      <c r="B54" s="746" t="s">
        <v>79</v>
      </c>
      <c r="C54" s="747"/>
      <c r="D54" s="747"/>
      <c r="E54" s="748"/>
      <c r="F54" s="735" t="s">
        <v>141</v>
      </c>
      <c r="G54" s="726" t="s">
        <v>8</v>
      </c>
      <c r="H54" s="741">
        <v>680</v>
      </c>
      <c r="I54" s="722">
        <f>ROUND(18*100%*80%*100%*$G$13,2)</f>
        <v>17.27</v>
      </c>
      <c r="J54" s="722">
        <f>H54*I54</f>
        <v>11743.6</v>
      </c>
      <c r="K54" s="688" t="s">
        <v>408</v>
      </c>
      <c r="L54" s="689"/>
      <c r="M54" s="690"/>
      <c r="N54" s="241"/>
      <c r="O54" s="107"/>
      <c r="P54" s="107"/>
    </row>
    <row r="55" spans="1:16" s="18" customFormat="1" ht="15" customHeight="1" x14ac:dyDescent="0.2">
      <c r="A55" s="727"/>
      <c r="B55" s="755"/>
      <c r="C55" s="756"/>
      <c r="D55" s="756"/>
      <c r="E55" s="757"/>
      <c r="F55" s="736"/>
      <c r="G55" s="727"/>
      <c r="H55" s="742"/>
      <c r="I55" s="744"/>
      <c r="J55" s="723"/>
      <c r="K55" s="705" t="s">
        <v>105</v>
      </c>
      <c r="L55" s="706"/>
      <c r="M55" s="707"/>
      <c r="N55" s="242"/>
      <c r="O55" s="107"/>
      <c r="P55" s="107"/>
    </row>
    <row r="56" spans="1:16" s="18" customFormat="1" ht="25.5" customHeight="1" x14ac:dyDescent="0.2">
      <c r="A56" s="727"/>
      <c r="B56" s="755"/>
      <c r="C56" s="756"/>
      <c r="D56" s="756"/>
      <c r="E56" s="757"/>
      <c r="F56" s="736"/>
      <c r="G56" s="727"/>
      <c r="H56" s="742"/>
      <c r="I56" s="744"/>
      <c r="J56" s="725"/>
      <c r="K56" s="691" t="s">
        <v>80</v>
      </c>
      <c r="L56" s="692"/>
      <c r="M56" s="693"/>
      <c r="N56" s="241"/>
      <c r="O56" s="107"/>
      <c r="P56" s="107"/>
    </row>
    <row r="57" spans="1:16" s="18" customFormat="1" ht="26.45" customHeight="1" x14ac:dyDescent="0.2">
      <c r="A57" s="727"/>
      <c r="B57" s="755"/>
      <c r="C57" s="756"/>
      <c r="D57" s="756"/>
      <c r="E57" s="757"/>
      <c r="F57" s="736"/>
      <c r="G57" s="727"/>
      <c r="H57" s="742"/>
      <c r="I57" s="744"/>
      <c r="J57" s="744"/>
      <c r="K57" s="691" t="s">
        <v>106</v>
      </c>
      <c r="L57" s="692"/>
      <c r="M57" s="693"/>
      <c r="N57" s="241"/>
      <c r="O57" s="205"/>
      <c r="P57" s="205"/>
    </row>
    <row r="58" spans="1:16" s="18" customFormat="1" ht="24.75" customHeight="1" x14ac:dyDescent="0.2">
      <c r="A58" s="727"/>
      <c r="B58" s="755"/>
      <c r="C58" s="756"/>
      <c r="D58" s="756"/>
      <c r="E58" s="757"/>
      <c r="F58" s="736"/>
      <c r="G58" s="727"/>
      <c r="H58" s="742"/>
      <c r="I58" s="744"/>
      <c r="J58" s="744"/>
      <c r="K58" s="691" t="s">
        <v>57</v>
      </c>
      <c r="L58" s="692"/>
      <c r="M58" s="693"/>
      <c r="N58" s="241"/>
      <c r="O58" s="205"/>
      <c r="P58" s="205"/>
    </row>
    <row r="59" spans="1:16" s="18" customFormat="1" ht="10.5" customHeight="1" x14ac:dyDescent="0.2">
      <c r="A59" s="728"/>
      <c r="B59" s="782"/>
      <c r="C59" s="783"/>
      <c r="D59" s="783"/>
      <c r="E59" s="784"/>
      <c r="F59" s="737"/>
      <c r="G59" s="728"/>
      <c r="H59" s="743"/>
      <c r="I59" s="745"/>
      <c r="J59" s="745"/>
      <c r="K59" s="60" t="s">
        <v>58</v>
      </c>
      <c r="L59" s="170"/>
      <c r="M59" s="138"/>
      <c r="N59" s="19"/>
      <c r="O59" s="205"/>
      <c r="P59" s="205"/>
    </row>
    <row r="60" spans="1:16" s="18" customFormat="1" ht="12.75" customHeight="1" x14ac:dyDescent="0.2">
      <c r="A60" s="726" t="s">
        <v>34</v>
      </c>
      <c r="B60" s="729" t="s">
        <v>24</v>
      </c>
      <c r="C60" s="689"/>
      <c r="D60" s="689"/>
      <c r="E60" s="690"/>
      <c r="F60" s="735" t="s">
        <v>141</v>
      </c>
      <c r="G60" s="726" t="s">
        <v>10</v>
      </c>
      <c r="H60" s="741">
        <v>4.5</v>
      </c>
      <c r="I60" s="722">
        <f>ROUND(92*$G$13,2)</f>
        <v>110.31</v>
      </c>
      <c r="J60" s="722">
        <f>H60*I60</f>
        <v>496.39499999999998</v>
      </c>
      <c r="K60" s="684" t="s">
        <v>181</v>
      </c>
      <c r="L60" s="694"/>
      <c r="M60" s="695"/>
      <c r="N60" s="241"/>
      <c r="O60" s="107"/>
      <c r="P60" s="107"/>
    </row>
    <row r="61" spans="1:16" s="18" customFormat="1" ht="12" customHeight="1" x14ac:dyDescent="0.2">
      <c r="A61" s="727"/>
      <c r="B61" s="764"/>
      <c r="C61" s="778"/>
      <c r="D61" s="778"/>
      <c r="E61" s="693"/>
      <c r="F61" s="736"/>
      <c r="G61" s="727"/>
      <c r="H61" s="742"/>
      <c r="I61" s="725"/>
      <c r="J61" s="725"/>
      <c r="K61" s="699" t="s">
        <v>93</v>
      </c>
      <c r="L61" s="700"/>
      <c r="M61" s="701"/>
      <c r="N61" s="242"/>
      <c r="O61" s="108"/>
      <c r="P61" s="108"/>
    </row>
    <row r="62" spans="1:16" s="18" customFormat="1" ht="17.25" customHeight="1" x14ac:dyDescent="0.2">
      <c r="A62" s="728"/>
      <c r="B62" s="779"/>
      <c r="C62" s="780"/>
      <c r="D62" s="780"/>
      <c r="E62" s="781"/>
      <c r="F62" s="737"/>
      <c r="G62" s="728"/>
      <c r="H62" s="743"/>
      <c r="I62" s="724"/>
      <c r="J62" s="724"/>
      <c r="K62" s="679" t="s">
        <v>55</v>
      </c>
      <c r="L62" s="680"/>
      <c r="M62" s="681"/>
      <c r="N62" s="242"/>
      <c r="O62" s="107"/>
      <c r="P62" s="107"/>
    </row>
    <row r="63" spans="1:16" s="18" customFormat="1" ht="13.5" customHeight="1" x14ac:dyDescent="0.2">
      <c r="A63" s="206"/>
      <c r="B63" s="207"/>
      <c r="C63" s="208"/>
      <c r="D63" s="208"/>
      <c r="E63" s="209"/>
      <c r="F63" s="210"/>
      <c r="G63" s="206"/>
      <c r="H63" s="206"/>
      <c r="I63" s="71" t="s">
        <v>59</v>
      </c>
      <c r="J63" s="181">
        <f>SUM(J54:J62)</f>
        <v>12239.995000000001</v>
      </c>
      <c r="K63" s="181"/>
      <c r="L63" s="181"/>
      <c r="M63" s="181"/>
      <c r="N63" s="19"/>
      <c r="O63" s="107"/>
      <c r="P63" s="107"/>
    </row>
    <row r="64" spans="1:16" s="18" customFormat="1" ht="15" customHeight="1" x14ac:dyDescent="0.2">
      <c r="A64" s="183"/>
      <c r="B64" s="72" t="s">
        <v>56</v>
      </c>
      <c r="C64" s="73"/>
      <c r="D64" s="73"/>
      <c r="E64" s="74"/>
      <c r="F64" s="184"/>
      <c r="G64" s="183"/>
      <c r="H64" s="182"/>
      <c r="I64" s="181"/>
      <c r="J64" s="181"/>
      <c r="K64" s="181"/>
      <c r="L64" s="181"/>
      <c r="M64" s="181"/>
      <c r="N64" s="19"/>
      <c r="O64" s="19"/>
      <c r="P64" s="19"/>
    </row>
    <row r="65" spans="1:16" s="18" customFormat="1" ht="17.25" customHeight="1" x14ac:dyDescent="0.2">
      <c r="A65" s="727" t="s">
        <v>35</v>
      </c>
      <c r="B65" s="755" t="s">
        <v>126</v>
      </c>
      <c r="C65" s="756"/>
      <c r="D65" s="756"/>
      <c r="E65" s="757"/>
      <c r="F65" s="736" t="s">
        <v>171</v>
      </c>
      <c r="G65" s="727" t="s">
        <v>10</v>
      </c>
      <c r="H65" s="742">
        <v>4.5</v>
      </c>
      <c r="I65" s="725">
        <f>ROUND((1*3300+0*4900+0*5400+0*6200)*100%*100%*$G$13,2)</f>
        <v>3956.7</v>
      </c>
      <c r="J65" s="725">
        <f>H65*I65</f>
        <v>17805.149999999998</v>
      </c>
      <c r="K65" s="673" t="s">
        <v>60</v>
      </c>
      <c r="L65" s="674"/>
      <c r="M65" s="675"/>
      <c r="N65" s="245"/>
      <c r="O65" s="107"/>
      <c r="P65" s="107"/>
    </row>
    <row r="66" spans="1:16" s="18" customFormat="1" ht="27.6" customHeight="1" x14ac:dyDescent="0.2">
      <c r="A66" s="771"/>
      <c r="B66" s="732"/>
      <c r="C66" s="706"/>
      <c r="D66" s="706"/>
      <c r="E66" s="707"/>
      <c r="F66" s="773"/>
      <c r="G66" s="771"/>
      <c r="H66" s="771"/>
      <c r="I66" s="744"/>
      <c r="J66" s="744"/>
      <c r="K66" s="676" t="s">
        <v>107</v>
      </c>
      <c r="L66" s="677"/>
      <c r="M66" s="678"/>
      <c r="N66" s="241"/>
      <c r="O66" s="108"/>
      <c r="P66" s="108"/>
    </row>
    <row r="67" spans="1:16" s="18" customFormat="1" ht="12.6" customHeight="1" x14ac:dyDescent="0.2">
      <c r="A67" s="771"/>
      <c r="B67" s="732"/>
      <c r="C67" s="706"/>
      <c r="D67" s="706"/>
      <c r="E67" s="707"/>
      <c r="F67" s="773"/>
      <c r="G67" s="771"/>
      <c r="H67" s="771"/>
      <c r="I67" s="744"/>
      <c r="J67" s="744"/>
      <c r="K67" s="676" t="s">
        <v>61</v>
      </c>
      <c r="L67" s="677"/>
      <c r="M67" s="678"/>
      <c r="N67" s="241"/>
      <c r="O67" s="107"/>
      <c r="P67" s="107"/>
    </row>
    <row r="68" spans="1:16" s="18" customFormat="1" ht="24.6" customHeight="1" x14ac:dyDescent="0.2">
      <c r="A68" s="771"/>
      <c r="B68" s="732"/>
      <c r="C68" s="706"/>
      <c r="D68" s="706"/>
      <c r="E68" s="707"/>
      <c r="F68" s="773"/>
      <c r="G68" s="771"/>
      <c r="H68" s="771"/>
      <c r="I68" s="744"/>
      <c r="J68" s="744"/>
      <c r="K68" s="676" t="s">
        <v>108</v>
      </c>
      <c r="L68" s="677"/>
      <c r="M68" s="678"/>
      <c r="N68" s="241"/>
      <c r="O68" s="205"/>
      <c r="P68" s="205"/>
    </row>
    <row r="69" spans="1:16" s="18" customFormat="1" ht="15" customHeight="1" x14ac:dyDescent="0.2">
      <c r="A69" s="771"/>
      <c r="B69" s="732"/>
      <c r="C69" s="706"/>
      <c r="D69" s="706"/>
      <c r="E69" s="707"/>
      <c r="F69" s="773"/>
      <c r="G69" s="771"/>
      <c r="H69" s="771"/>
      <c r="I69" s="744"/>
      <c r="J69" s="744"/>
      <c r="K69" s="676" t="s">
        <v>62</v>
      </c>
      <c r="L69" s="677"/>
      <c r="M69" s="678"/>
      <c r="N69" s="241"/>
      <c r="O69" s="205"/>
      <c r="P69" s="205"/>
    </row>
    <row r="70" spans="1:16" s="18" customFormat="1" ht="24" customHeight="1" x14ac:dyDescent="0.2">
      <c r="A70" s="771"/>
      <c r="B70" s="732"/>
      <c r="C70" s="706"/>
      <c r="D70" s="706"/>
      <c r="E70" s="707"/>
      <c r="F70" s="773"/>
      <c r="G70" s="771"/>
      <c r="H70" s="771"/>
      <c r="I70" s="744"/>
      <c r="J70" s="744"/>
      <c r="K70" s="676" t="s">
        <v>109</v>
      </c>
      <c r="L70" s="677"/>
      <c r="M70" s="678"/>
      <c r="N70" s="241"/>
      <c r="O70" s="205"/>
      <c r="P70" s="205"/>
    </row>
    <row r="71" spans="1:16" s="18" customFormat="1" ht="15" customHeight="1" x14ac:dyDescent="0.2">
      <c r="A71" s="771"/>
      <c r="B71" s="732"/>
      <c r="C71" s="706"/>
      <c r="D71" s="706"/>
      <c r="E71" s="707"/>
      <c r="F71" s="773"/>
      <c r="G71" s="771"/>
      <c r="H71" s="771"/>
      <c r="I71" s="744"/>
      <c r="J71" s="744"/>
      <c r="K71" s="676" t="s">
        <v>63</v>
      </c>
      <c r="L71" s="677"/>
      <c r="M71" s="678"/>
      <c r="N71" s="241"/>
      <c r="O71" s="205"/>
      <c r="P71" s="205"/>
    </row>
    <row r="72" spans="1:16" s="18" customFormat="1" ht="25.5" customHeight="1" x14ac:dyDescent="0.2">
      <c r="A72" s="771"/>
      <c r="B72" s="732"/>
      <c r="C72" s="706"/>
      <c r="D72" s="706"/>
      <c r="E72" s="707"/>
      <c r="F72" s="773"/>
      <c r="G72" s="771"/>
      <c r="H72" s="771"/>
      <c r="I72" s="744"/>
      <c r="J72" s="744"/>
      <c r="K72" s="676" t="s">
        <v>110</v>
      </c>
      <c r="L72" s="677"/>
      <c r="M72" s="678"/>
      <c r="N72" s="241"/>
      <c r="O72" s="205"/>
      <c r="P72" s="205"/>
    </row>
    <row r="73" spans="1:16" s="18" customFormat="1" ht="15.75" customHeight="1" x14ac:dyDescent="0.2">
      <c r="A73" s="771"/>
      <c r="B73" s="732"/>
      <c r="C73" s="706"/>
      <c r="D73" s="706"/>
      <c r="E73" s="707"/>
      <c r="F73" s="773"/>
      <c r="G73" s="771"/>
      <c r="H73" s="771"/>
      <c r="I73" s="744"/>
      <c r="J73" s="744"/>
      <c r="K73" s="676" t="s">
        <v>112</v>
      </c>
      <c r="L73" s="686"/>
      <c r="M73" s="687"/>
      <c r="N73" s="246"/>
      <c r="O73" s="205"/>
      <c r="P73" s="205"/>
    </row>
    <row r="74" spans="1:16" s="18" customFormat="1" ht="30" customHeight="1" x14ac:dyDescent="0.2">
      <c r="A74" s="771"/>
      <c r="B74" s="732"/>
      <c r="C74" s="706"/>
      <c r="D74" s="706"/>
      <c r="E74" s="707"/>
      <c r="F74" s="773"/>
      <c r="G74" s="771"/>
      <c r="H74" s="771"/>
      <c r="I74" s="744"/>
      <c r="J74" s="744"/>
      <c r="K74" s="676" t="s">
        <v>111</v>
      </c>
      <c r="L74" s="677"/>
      <c r="M74" s="678"/>
      <c r="N74" s="241"/>
      <c r="O74" s="205"/>
      <c r="P74" s="205"/>
    </row>
    <row r="75" spans="1:16" s="18" customFormat="1" ht="18" customHeight="1" x14ac:dyDescent="0.2">
      <c r="A75" s="771"/>
      <c r="B75" s="732"/>
      <c r="C75" s="706"/>
      <c r="D75" s="706"/>
      <c r="E75" s="707"/>
      <c r="F75" s="773"/>
      <c r="G75" s="771"/>
      <c r="H75" s="771"/>
      <c r="I75" s="744"/>
      <c r="J75" s="744"/>
      <c r="K75" s="676" t="s">
        <v>64</v>
      </c>
      <c r="L75" s="686"/>
      <c r="M75" s="687"/>
      <c r="N75" s="246"/>
      <c r="O75" s="205"/>
      <c r="P75" s="205"/>
    </row>
    <row r="76" spans="1:16" s="18" customFormat="1" ht="15" customHeight="1" x14ac:dyDescent="0.2">
      <c r="A76" s="771"/>
      <c r="B76" s="732"/>
      <c r="C76" s="706"/>
      <c r="D76" s="706"/>
      <c r="E76" s="707"/>
      <c r="F76" s="773"/>
      <c r="G76" s="771"/>
      <c r="H76" s="771"/>
      <c r="I76" s="744"/>
      <c r="J76" s="744"/>
      <c r="K76" s="676" t="s">
        <v>65</v>
      </c>
      <c r="L76" s="686"/>
      <c r="M76" s="687"/>
      <c r="N76" s="246"/>
      <c r="O76" s="205"/>
      <c r="P76" s="205"/>
    </row>
    <row r="77" spans="1:16" s="18" customFormat="1" ht="17.25" customHeight="1" x14ac:dyDescent="0.2">
      <c r="A77" s="772"/>
      <c r="B77" s="734"/>
      <c r="C77" s="703"/>
      <c r="D77" s="703"/>
      <c r="E77" s="704"/>
      <c r="F77" s="774"/>
      <c r="G77" s="772"/>
      <c r="H77" s="772"/>
      <c r="I77" s="745"/>
      <c r="J77" s="745"/>
      <c r="K77" s="157" t="s">
        <v>94</v>
      </c>
      <c r="L77" s="158"/>
      <c r="M77" s="159"/>
      <c r="N77" s="19"/>
      <c r="O77" s="205"/>
      <c r="P77" s="205"/>
    </row>
    <row r="78" spans="1:16" s="18" customFormat="1" ht="15.75" customHeight="1" x14ac:dyDescent="0.2">
      <c r="A78" s="183"/>
      <c r="B78" s="155"/>
      <c r="C78" s="156"/>
      <c r="D78" s="156"/>
      <c r="E78" s="185"/>
      <c r="F78" s="75"/>
      <c r="G78" s="76"/>
      <c r="H78" s="182"/>
      <c r="I78" s="71" t="s">
        <v>59</v>
      </c>
      <c r="J78" s="181">
        <f>SUM(J65:J77)</f>
        <v>17805.149999999998</v>
      </c>
      <c r="K78" s="181"/>
      <c r="L78" s="181"/>
      <c r="M78" s="181"/>
      <c r="N78" s="19"/>
      <c r="O78" s="19"/>
      <c r="P78" s="19"/>
    </row>
    <row r="79" spans="1:16" s="18" customFormat="1" ht="13.5" customHeight="1" x14ac:dyDescent="0.2">
      <c r="A79" s="650" t="s">
        <v>493</v>
      </c>
      <c r="B79" s="651"/>
      <c r="C79" s="651"/>
      <c r="D79" s="651"/>
      <c r="E79" s="651"/>
      <c r="F79" s="651"/>
      <c r="G79" s="652"/>
      <c r="H79" s="652"/>
      <c r="I79" s="653"/>
      <c r="J79" s="464">
        <f>J26+J31+J42+J51+J63+J78</f>
        <v>66024.154999999999</v>
      </c>
      <c r="K79" s="181"/>
      <c r="L79" s="181"/>
      <c r="M79" s="181"/>
      <c r="N79" s="19"/>
      <c r="O79" s="19"/>
      <c r="P79" s="19"/>
    </row>
    <row r="80" spans="1:16" s="18" customFormat="1" ht="12" customHeight="1" x14ac:dyDescent="0.2">
      <c r="A80" s="775"/>
      <c r="B80" s="776"/>
      <c r="C80" s="776"/>
      <c r="D80" s="776"/>
      <c r="E80" s="777"/>
      <c r="F80" s="75"/>
      <c r="G80" s="76"/>
      <c r="H80" s="182"/>
      <c r="I80" s="181"/>
      <c r="J80" s="464"/>
      <c r="K80" s="181"/>
      <c r="L80" s="181"/>
      <c r="M80" s="181"/>
      <c r="N80" s="19"/>
      <c r="O80" s="19"/>
      <c r="P80" s="19"/>
    </row>
    <row r="81" spans="1:25" s="18" customFormat="1" ht="13.5" customHeight="1" thickBot="1" x14ac:dyDescent="0.25">
      <c r="A81" s="654" t="s">
        <v>494</v>
      </c>
      <c r="B81" s="655"/>
      <c r="C81" s="655"/>
      <c r="D81" s="655"/>
      <c r="E81" s="655"/>
      <c r="F81" s="655"/>
      <c r="G81" s="656"/>
      <c r="H81" s="656"/>
      <c r="I81" s="657"/>
      <c r="J81" s="465">
        <f>J79+J80</f>
        <v>66024.154999999999</v>
      </c>
      <c r="K81" s="132"/>
      <c r="L81" s="132"/>
      <c r="M81" s="132"/>
      <c r="N81" s="19">
        <f>J81</f>
        <v>66024.154999999999</v>
      </c>
      <c r="P81" s="19"/>
    </row>
    <row r="82" spans="1:25" ht="15" customHeight="1" thickTop="1" x14ac:dyDescent="0.2">
      <c r="F82" s="26"/>
      <c r="G82" s="26"/>
      <c r="K82" s="128"/>
      <c r="L82" s="128"/>
      <c r="M82" s="128"/>
      <c r="N82" s="280">
        <f>SUM(N14:N81)</f>
        <v>66024.154999999999</v>
      </c>
      <c r="P82" s="258"/>
      <c r="Q82" s="243"/>
      <c r="R82" s="258"/>
      <c r="S82" s="258"/>
      <c r="T82" s="258"/>
      <c r="U82" s="258"/>
      <c r="V82" s="258"/>
      <c r="W82" s="258"/>
      <c r="X82" s="259"/>
      <c r="Y82" s="257"/>
    </row>
    <row r="83" spans="1:25" ht="15" customHeight="1" x14ac:dyDescent="0.2">
      <c r="F83" s="26"/>
      <c r="G83" s="26"/>
      <c r="K83" s="128"/>
      <c r="L83" s="128"/>
      <c r="M83" s="128"/>
      <c r="N83" s="249"/>
      <c r="P83" s="258"/>
      <c r="Q83" s="243"/>
      <c r="R83" s="258"/>
      <c r="S83" s="258"/>
      <c r="T83" s="258"/>
      <c r="U83" s="258"/>
      <c r="V83" s="258"/>
      <c r="W83" s="258"/>
      <c r="X83" s="259"/>
      <c r="Y83" s="257"/>
    </row>
    <row r="84" spans="1:25" ht="15" customHeight="1" x14ac:dyDescent="0.2">
      <c r="A84" s="281"/>
      <c r="F84" s="26"/>
      <c r="G84" s="26"/>
      <c r="K84" s="128"/>
      <c r="L84" s="128"/>
      <c r="M84" s="128"/>
      <c r="N84" s="249"/>
      <c r="P84" s="258"/>
      <c r="Q84" s="243"/>
      <c r="R84" s="258"/>
      <c r="S84" s="258"/>
      <c r="T84" s="258"/>
      <c r="U84" s="258"/>
      <c r="V84" s="258"/>
      <c r="W84" s="258"/>
      <c r="X84" s="259"/>
      <c r="Y84" s="257"/>
    </row>
    <row r="85" spans="1:25" ht="15" customHeight="1" x14ac:dyDescent="0.2">
      <c r="A85" s="281"/>
      <c r="F85" s="26"/>
      <c r="G85" s="26"/>
      <c r="K85" s="128"/>
      <c r="L85" s="128"/>
      <c r="M85" s="128"/>
      <c r="N85" s="249"/>
      <c r="P85" s="258"/>
      <c r="Q85" s="243"/>
      <c r="R85" s="258"/>
      <c r="S85" s="258"/>
      <c r="T85" s="258"/>
      <c r="U85" s="258"/>
      <c r="V85" s="258"/>
      <c r="W85" s="258"/>
      <c r="X85" s="259"/>
      <c r="Y85" s="257"/>
    </row>
    <row r="86" spans="1:25" ht="15" customHeight="1" x14ac:dyDescent="0.2">
      <c r="A86" s="26"/>
      <c r="F86" s="26"/>
      <c r="G86" s="26"/>
      <c r="N86" s="236"/>
      <c r="O86" s="25"/>
      <c r="P86" s="261"/>
      <c r="Q86" s="33"/>
      <c r="R86" s="33"/>
      <c r="S86" s="33"/>
      <c r="T86" s="16"/>
      <c r="U86" s="15"/>
    </row>
    <row r="87" spans="1:25" ht="15" customHeight="1" x14ac:dyDescent="0.2">
      <c r="A87" s="26"/>
      <c r="F87" s="26"/>
      <c r="G87" s="26"/>
      <c r="N87" s="142"/>
      <c r="O87" s="172"/>
      <c r="P87" s="265"/>
      <c r="Q87" s="33"/>
      <c r="R87" s="33"/>
      <c r="S87" s="33"/>
      <c r="T87" s="16"/>
      <c r="U87" s="15"/>
    </row>
    <row r="88" spans="1:25" ht="15" customHeight="1" x14ac:dyDescent="0.35">
      <c r="A88" s="26"/>
      <c r="F88" s="26"/>
      <c r="G88" s="26"/>
      <c r="N88" s="237"/>
      <c r="O88" s="172"/>
      <c r="P88" s="265"/>
      <c r="Q88" s="262"/>
      <c r="R88" s="262"/>
      <c r="S88" s="263" t="s">
        <v>169</v>
      </c>
      <c r="T88" s="264">
        <f>SUM(T86:T87)</f>
        <v>0</v>
      </c>
      <c r="U88" s="262"/>
    </row>
    <row r="89" spans="1:25" ht="15" customHeight="1" x14ac:dyDescent="0.2">
      <c r="A89" s="26"/>
      <c r="F89" s="26"/>
      <c r="G89" s="26"/>
      <c r="N89" s="237"/>
      <c r="O89" s="172"/>
      <c r="P89" s="265"/>
      <c r="Q89" s="265"/>
      <c r="R89" s="265"/>
      <c r="S89" s="266"/>
      <c r="T89" s="266"/>
      <c r="U89" s="267"/>
    </row>
    <row r="90" spans="1:25" ht="15" customHeight="1" x14ac:dyDescent="0.3">
      <c r="A90" s="26"/>
      <c r="F90" s="26"/>
      <c r="G90" s="26"/>
      <c r="N90" s="5"/>
      <c r="O90" s="226"/>
      <c r="P90" s="265"/>
      <c r="Q90" s="265"/>
      <c r="R90" s="268"/>
      <c r="S90" s="269" t="e">
        <f>ROUND(0.5+(10/((T88/(1000*0.23368))^(1/3))),2)</f>
        <v>#DIV/0!</v>
      </c>
      <c r="T90" s="270"/>
      <c r="U90" s="267"/>
    </row>
    <row r="91" spans="1:25" ht="15" customHeight="1" x14ac:dyDescent="0.2">
      <c r="A91" s="26"/>
      <c r="F91" s="26"/>
      <c r="G91" s="26"/>
      <c r="N91" s="5"/>
      <c r="P91" s="265"/>
      <c r="Q91" s="265"/>
      <c r="R91" s="271"/>
      <c r="S91" s="271"/>
      <c r="T91" s="271"/>
      <c r="U91" s="271"/>
    </row>
    <row r="92" spans="1:25" ht="15.75" customHeight="1" x14ac:dyDescent="0.3">
      <c r="A92" s="26"/>
      <c r="F92" s="26"/>
      <c r="G92" s="26"/>
      <c r="N92" s="2"/>
      <c r="O92" s="147"/>
      <c r="P92" s="275"/>
      <c r="Q92" s="265"/>
      <c r="R92" s="272"/>
      <c r="S92" s="273"/>
      <c r="T92" s="268"/>
      <c r="U92" s="274"/>
    </row>
    <row r="93" spans="1:25" ht="15" customHeight="1" x14ac:dyDescent="0.3">
      <c r="B93" s="251" t="s">
        <v>122</v>
      </c>
      <c r="C93" s="251"/>
      <c r="D93" s="251"/>
      <c r="E93" s="251"/>
      <c r="F93" s="251"/>
      <c r="G93" s="26"/>
      <c r="N93" s="2"/>
      <c r="O93" s="147"/>
      <c r="P93" s="275"/>
      <c r="Q93" s="265"/>
      <c r="R93" s="272"/>
      <c r="S93" s="273"/>
      <c r="T93" s="268"/>
      <c r="U93" s="274"/>
    </row>
    <row r="94" spans="1:25" ht="15" customHeight="1" x14ac:dyDescent="0.3">
      <c r="B94" s="250" t="s">
        <v>23</v>
      </c>
      <c r="C94" s="250"/>
      <c r="D94" s="250"/>
      <c r="E94" s="250"/>
      <c r="F94" s="250"/>
      <c r="G94" s="26"/>
      <c r="N94" s="2"/>
      <c r="Q94" s="276"/>
      <c r="R94" s="277"/>
      <c r="S94" s="278"/>
      <c r="T94" s="279" t="e">
        <f>ROUND(S90%*T88*(#REF!/#REF!),2)</f>
        <v>#DIV/0!</v>
      </c>
      <c r="U94" s="268"/>
    </row>
    <row r="95" spans="1:25" ht="15" customHeight="1" x14ac:dyDescent="0.3">
      <c r="B95" s="146"/>
      <c r="C95" s="146"/>
      <c r="D95" s="146"/>
      <c r="E95" s="146"/>
      <c r="F95" s="146"/>
      <c r="G95" s="251"/>
      <c r="H95" s="251"/>
      <c r="K95" s="172"/>
      <c r="L95" s="172"/>
      <c r="M95" s="172"/>
      <c r="N95" s="2"/>
      <c r="Q95" s="276"/>
      <c r="R95" s="277"/>
      <c r="S95" s="278"/>
      <c r="T95" s="278"/>
      <c r="U95" s="268"/>
    </row>
    <row r="96" spans="1:25" ht="15" customHeight="1" x14ac:dyDescent="0.2">
      <c r="B96" s="146"/>
      <c r="C96" s="146"/>
      <c r="D96" s="146"/>
      <c r="E96" s="146"/>
      <c r="F96" s="146"/>
      <c r="G96" s="250"/>
      <c r="H96" s="146"/>
      <c r="K96" s="172"/>
      <c r="L96" s="172"/>
      <c r="M96" s="172"/>
      <c r="N96" s="4"/>
    </row>
    <row r="97" spans="1:14" ht="15" customHeight="1" x14ac:dyDescent="0.2">
      <c r="A97" s="683"/>
      <c r="B97" s="683"/>
      <c r="C97" s="683"/>
      <c r="D97" s="683"/>
      <c r="E97" s="683"/>
      <c r="F97" s="254"/>
      <c r="G97" s="146"/>
      <c r="H97" s="3"/>
      <c r="K97" s="172"/>
      <c r="L97" s="172"/>
      <c r="M97" s="172"/>
      <c r="N97" s="43"/>
    </row>
    <row r="98" spans="1:14" ht="15" customHeight="1" x14ac:dyDescent="0.2">
      <c r="A98" s="683"/>
      <c r="B98" s="683"/>
      <c r="C98" s="683"/>
      <c r="D98" s="683"/>
      <c r="E98" s="683"/>
      <c r="F98" s="254"/>
      <c r="G98" s="146"/>
      <c r="H98" s="3"/>
      <c r="K98" s="172"/>
      <c r="L98" s="172"/>
      <c r="M98" s="172"/>
      <c r="N98" s="235"/>
    </row>
    <row r="99" spans="1:14" ht="15" customHeight="1" x14ac:dyDescent="0.2">
      <c r="A99" s="682"/>
      <c r="B99" s="682"/>
      <c r="C99" s="682"/>
      <c r="D99" s="682"/>
      <c r="E99" s="682"/>
      <c r="F99" s="255"/>
      <c r="G99" s="254"/>
      <c r="H99" s="683"/>
      <c r="I99" s="683"/>
      <c r="J99" s="683"/>
      <c r="K99" s="683"/>
      <c r="L99" s="224"/>
      <c r="M99" s="148"/>
      <c r="N99" s="235"/>
    </row>
    <row r="100" spans="1:14" ht="12.75" customHeight="1" x14ac:dyDescent="0.2">
      <c r="A100" s="149"/>
      <c r="B100" s="149"/>
      <c r="C100" s="149"/>
      <c r="D100" s="149"/>
      <c r="E100" s="149"/>
      <c r="F100" s="149"/>
      <c r="G100" s="254"/>
      <c r="H100" s="683"/>
      <c r="I100" s="683"/>
      <c r="J100" s="683"/>
      <c r="K100" s="683"/>
      <c r="L100" s="224"/>
      <c r="M100" s="142"/>
      <c r="N100" s="235"/>
    </row>
    <row r="101" spans="1:14" ht="13.5" x14ac:dyDescent="0.2">
      <c r="B101" s="766"/>
      <c r="C101" s="766"/>
      <c r="D101" s="767"/>
      <c r="E101" s="768"/>
      <c r="F101" s="26"/>
      <c r="G101" s="255"/>
      <c r="H101" s="682"/>
      <c r="I101" s="682"/>
      <c r="J101" s="682"/>
      <c r="K101" s="682"/>
      <c r="L101" s="225"/>
      <c r="M101" s="149"/>
      <c r="N101" s="235"/>
    </row>
    <row r="102" spans="1:14" ht="13.5" x14ac:dyDescent="0.2">
      <c r="B102" s="659"/>
      <c r="C102" s="659"/>
      <c r="D102" s="659"/>
      <c r="E102" s="659"/>
      <c r="F102" s="26"/>
      <c r="G102" s="149"/>
      <c r="H102" s="149"/>
      <c r="I102" s="149"/>
      <c r="J102" s="149"/>
      <c r="K102" s="149"/>
      <c r="L102" s="225"/>
      <c r="M102" s="149"/>
      <c r="N102" s="235"/>
    </row>
    <row r="103" spans="1:14" x14ac:dyDescent="0.2">
      <c r="B103" s="189"/>
      <c r="C103" s="189"/>
      <c r="D103" s="189"/>
      <c r="F103" s="26"/>
      <c r="G103" s="26"/>
      <c r="H103" s="146"/>
      <c r="I103" s="659"/>
      <c r="J103" s="659"/>
      <c r="K103" s="146"/>
      <c r="L103" s="172"/>
      <c r="M103" s="5"/>
      <c r="N103" s="235"/>
    </row>
    <row r="104" spans="1:14" x14ac:dyDescent="0.2">
      <c r="B104" s="189"/>
      <c r="C104" s="189"/>
      <c r="D104" s="189"/>
      <c r="F104" s="26"/>
      <c r="G104" s="26"/>
      <c r="H104" s="146"/>
      <c r="I104" s="659"/>
      <c r="J104" s="659"/>
      <c r="K104" s="770"/>
      <c r="L104" s="172"/>
      <c r="M104" s="5"/>
      <c r="N104" s="239"/>
    </row>
    <row r="105" spans="1:14" x14ac:dyDescent="0.2">
      <c r="B105" s="659"/>
      <c r="C105" s="659"/>
      <c r="D105" s="769"/>
      <c r="E105" s="769"/>
      <c r="F105" s="26"/>
      <c r="G105" s="26"/>
      <c r="H105" s="189"/>
      <c r="I105" s="189"/>
      <c r="J105" s="189"/>
      <c r="K105" s="189"/>
      <c r="L105" s="172"/>
      <c r="M105" s="2"/>
      <c r="N105" s="235"/>
    </row>
    <row r="106" spans="1:14" x14ac:dyDescent="0.2">
      <c r="B106" s="250"/>
      <c r="C106" s="250"/>
      <c r="D106" s="252"/>
      <c r="E106" s="252"/>
      <c r="F106" s="26"/>
      <c r="G106" s="26"/>
      <c r="H106" s="189"/>
      <c r="I106" s="189"/>
      <c r="J106" s="189"/>
      <c r="K106" s="189"/>
      <c r="L106" s="172"/>
      <c r="M106" s="2"/>
      <c r="N106" s="235"/>
    </row>
    <row r="107" spans="1:14" x14ac:dyDescent="0.2">
      <c r="B107" s="250"/>
      <c r="C107" s="250"/>
      <c r="D107" s="253"/>
      <c r="E107" s="253"/>
      <c r="F107" s="250"/>
      <c r="G107" s="26"/>
      <c r="H107" s="146"/>
      <c r="I107" s="659"/>
      <c r="J107" s="659"/>
      <c r="K107" s="659"/>
      <c r="L107" s="172"/>
      <c r="M107" s="2"/>
      <c r="N107" s="235"/>
    </row>
    <row r="108" spans="1:14" x14ac:dyDescent="0.2">
      <c r="A108" s="43"/>
      <c r="B108" s="43"/>
      <c r="C108" s="43"/>
      <c r="D108" s="43"/>
      <c r="E108" s="43"/>
      <c r="F108" s="43"/>
      <c r="G108" s="26"/>
      <c r="H108" s="250"/>
      <c r="I108" s="250"/>
      <c r="J108" s="250"/>
      <c r="K108" s="250"/>
      <c r="L108" s="239"/>
      <c r="M108" s="2"/>
      <c r="N108" s="240"/>
    </row>
    <row r="109" spans="1:14" x14ac:dyDescent="0.2">
      <c r="C109" s="250"/>
      <c r="D109" s="250"/>
      <c r="E109" s="250"/>
      <c r="F109" s="251"/>
      <c r="G109" s="253"/>
      <c r="H109" s="253"/>
      <c r="I109" s="253"/>
      <c r="J109" s="253"/>
      <c r="K109" s="253"/>
      <c r="L109" s="253"/>
      <c r="M109" s="4"/>
    </row>
    <row r="110" spans="1:14" x14ac:dyDescent="0.2">
      <c r="B110" s="250"/>
      <c r="C110" s="250"/>
      <c r="D110" s="250"/>
      <c r="E110" s="250"/>
      <c r="F110" s="26"/>
      <c r="G110" s="43"/>
      <c r="H110" s="43"/>
      <c r="I110" s="43"/>
      <c r="J110" s="43"/>
      <c r="K110" s="43"/>
      <c r="L110" s="43"/>
      <c r="M110" s="43"/>
      <c r="N110" s="233"/>
    </row>
    <row r="111" spans="1:14" x14ac:dyDescent="0.2">
      <c r="G111" s="251"/>
      <c r="H111" s="251"/>
      <c r="I111" s="251"/>
      <c r="J111" s="251"/>
      <c r="K111" s="250"/>
      <c r="L111" s="250"/>
      <c r="M111" s="250"/>
      <c r="N111" s="233"/>
    </row>
    <row r="112" spans="1:14" x14ac:dyDescent="0.2">
      <c r="G112" s="250"/>
      <c r="H112" s="250"/>
      <c r="I112" s="250"/>
      <c r="J112" s="250"/>
      <c r="K112" s="250"/>
      <c r="L112" s="253"/>
      <c r="M112" s="250"/>
    </row>
  </sheetData>
  <mergeCells count="158">
    <mergeCell ref="H65:H77"/>
    <mergeCell ref="A54:A59"/>
    <mergeCell ref="B54:E59"/>
    <mergeCell ref="F54:F59"/>
    <mergeCell ref="A48:A50"/>
    <mergeCell ref="B48:E50"/>
    <mergeCell ref="F48:F50"/>
    <mergeCell ref="G48:G50"/>
    <mergeCell ref="H48:H50"/>
    <mergeCell ref="N17:O17"/>
    <mergeCell ref="I107:K107"/>
    <mergeCell ref="B101:E101"/>
    <mergeCell ref="B105:E105"/>
    <mergeCell ref="I104:K104"/>
    <mergeCell ref="I103:J103"/>
    <mergeCell ref="A97:B97"/>
    <mergeCell ref="H99:I99"/>
    <mergeCell ref="J99:K99"/>
    <mergeCell ref="A98:B98"/>
    <mergeCell ref="H100:I100"/>
    <mergeCell ref="J100:K100"/>
    <mergeCell ref="A99:B99"/>
    <mergeCell ref="H101:I101"/>
    <mergeCell ref="A65:A77"/>
    <mergeCell ref="B65:E77"/>
    <mergeCell ref="F65:F77"/>
    <mergeCell ref="J65:J77"/>
    <mergeCell ref="I65:I77"/>
    <mergeCell ref="A80:E80"/>
    <mergeCell ref="A60:A62"/>
    <mergeCell ref="B60:E62"/>
    <mergeCell ref="F60:F62"/>
    <mergeCell ref="G65:G77"/>
    <mergeCell ref="F10:F12"/>
    <mergeCell ref="G10:I10"/>
    <mergeCell ref="I20:I22"/>
    <mergeCell ref="F23:F25"/>
    <mergeCell ref="A23:A25"/>
    <mergeCell ref="I23:I25"/>
    <mergeCell ref="H28:H30"/>
    <mergeCell ref="G36:G38"/>
    <mergeCell ref="H23:H25"/>
    <mergeCell ref="G17:G19"/>
    <mergeCell ref="G28:G30"/>
    <mergeCell ref="H36:H38"/>
    <mergeCell ref="I17:I19"/>
    <mergeCell ref="B23:E25"/>
    <mergeCell ref="A28:A30"/>
    <mergeCell ref="J60:J62"/>
    <mergeCell ref="J54:J59"/>
    <mergeCell ref="J48:J50"/>
    <mergeCell ref="G23:G25"/>
    <mergeCell ref="F28:F30"/>
    <mergeCell ref="B28:E30"/>
    <mergeCell ref="G39:G41"/>
    <mergeCell ref="B45:E47"/>
    <mergeCell ref="F45:F47"/>
    <mergeCell ref="G45:G47"/>
    <mergeCell ref="H45:H47"/>
    <mergeCell ref="I45:I47"/>
    <mergeCell ref="H60:H62"/>
    <mergeCell ref="I60:I62"/>
    <mergeCell ref="G60:G62"/>
    <mergeCell ref="I48:I50"/>
    <mergeCell ref="A45:A47"/>
    <mergeCell ref="G54:G59"/>
    <mergeCell ref="H54:H59"/>
    <mergeCell ref="I54:I59"/>
    <mergeCell ref="H39:H41"/>
    <mergeCell ref="I33:I35"/>
    <mergeCell ref="J33:J35"/>
    <mergeCell ref="J36:J38"/>
    <mergeCell ref="J39:J41"/>
    <mergeCell ref="I36:I38"/>
    <mergeCell ref="I39:I41"/>
    <mergeCell ref="J45:J47"/>
    <mergeCell ref="A33:A35"/>
    <mergeCell ref="A36:A38"/>
    <mergeCell ref="A39:A41"/>
    <mergeCell ref="H33:H35"/>
    <mergeCell ref="B36:E38"/>
    <mergeCell ref="B33:E35"/>
    <mergeCell ref="B39:E41"/>
    <mergeCell ref="F33:F35"/>
    <mergeCell ref="F36:F38"/>
    <mergeCell ref="F39:F41"/>
    <mergeCell ref="G33:G35"/>
    <mergeCell ref="J17:J19"/>
    <mergeCell ref="J20:J22"/>
    <mergeCell ref="J23:J25"/>
    <mergeCell ref="I28:I30"/>
    <mergeCell ref="A20:A22"/>
    <mergeCell ref="G20:G22"/>
    <mergeCell ref="B17:E19"/>
    <mergeCell ref="B20:E22"/>
    <mergeCell ref="F20:F22"/>
    <mergeCell ref="F17:F19"/>
    <mergeCell ref="H17:H19"/>
    <mergeCell ref="H20:H22"/>
    <mergeCell ref="A17:A19"/>
    <mergeCell ref="J28:J30"/>
    <mergeCell ref="K10:M13"/>
    <mergeCell ref="K19:M19"/>
    <mergeCell ref="L17:M17"/>
    <mergeCell ref="L18:M18"/>
    <mergeCell ref="L20:M20"/>
    <mergeCell ref="K30:M30"/>
    <mergeCell ref="K35:M35"/>
    <mergeCell ref="K38:M38"/>
    <mergeCell ref="K22:M22"/>
    <mergeCell ref="K76:M76"/>
    <mergeCell ref="K67:M67"/>
    <mergeCell ref="K48:M48"/>
    <mergeCell ref="K25:M25"/>
    <mergeCell ref="K57:M57"/>
    <mergeCell ref="K58:M58"/>
    <mergeCell ref="K60:M60"/>
    <mergeCell ref="K45:M45"/>
    <mergeCell ref="K46:M46"/>
    <mergeCell ref="K61:M61"/>
    <mergeCell ref="K62:M62"/>
    <mergeCell ref="K50:M50"/>
    <mergeCell ref="K54:M54"/>
    <mergeCell ref="K55:M55"/>
    <mergeCell ref="K56:M56"/>
    <mergeCell ref="K49:M49"/>
    <mergeCell ref="K68:M68"/>
    <mergeCell ref="K69:M69"/>
    <mergeCell ref="K70:M70"/>
    <mergeCell ref="K71:M71"/>
    <mergeCell ref="K72:M72"/>
    <mergeCell ref="K73:M73"/>
    <mergeCell ref="K74:M74"/>
    <mergeCell ref="K75:M75"/>
    <mergeCell ref="A79:I79"/>
    <mergeCell ref="A81:I81"/>
    <mergeCell ref="A7:M7"/>
    <mergeCell ref="A8:M8"/>
    <mergeCell ref="B102:E102"/>
    <mergeCell ref="J10:J12"/>
    <mergeCell ref="A14:E14"/>
    <mergeCell ref="A11:E11"/>
    <mergeCell ref="A10:E10"/>
    <mergeCell ref="G11:G12"/>
    <mergeCell ref="I11:I12"/>
    <mergeCell ref="K65:M65"/>
    <mergeCell ref="K66:M66"/>
    <mergeCell ref="K41:M41"/>
    <mergeCell ref="K47:M47"/>
    <mergeCell ref="J101:K101"/>
    <mergeCell ref="C97:E97"/>
    <mergeCell ref="C98:E98"/>
    <mergeCell ref="C99:E99"/>
    <mergeCell ref="L23:M23"/>
    <mergeCell ref="L24:M24"/>
    <mergeCell ref="L28:M28"/>
    <mergeCell ref="L33:M33"/>
    <mergeCell ref="L36:M36"/>
  </mergeCells>
  <printOptions horizontalCentered="1"/>
  <pageMargins left="0.19685039370078741" right="0.15748031496062992" top="0.39370078740157483" bottom="0.39370078740157483" header="0.31496062992125984" footer="0.11811023622047245"/>
  <pageSetup paperSize="9" scale="78" orientation="portrait" r:id="rId1"/>
  <headerFooter>
    <oddFooter>&amp;R&amp;P/&amp;N</oddFooter>
  </headerFooter>
  <rowBreaks count="2" manualBreakCount="2">
    <brk id="42" max="12" man="1"/>
    <brk id="85" max="12" man="1"/>
  </rowBreaks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 sizeWithCells="1">
              <from>
                <xdr:col>16</xdr:col>
                <xdr:colOff>314325</xdr:colOff>
                <xdr:row>81</xdr:row>
                <xdr:rowOff>0</xdr:rowOff>
              </from>
              <to>
                <xdr:col>18</xdr:col>
                <xdr:colOff>361950</xdr:colOff>
                <xdr:row>85</xdr:row>
                <xdr:rowOff>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 sizeWithCells="1">
              <from>
                <xdr:col>15</xdr:col>
                <xdr:colOff>323850</xdr:colOff>
                <xdr:row>88</xdr:row>
                <xdr:rowOff>104775</xdr:rowOff>
              </from>
              <to>
                <xdr:col>18</xdr:col>
                <xdr:colOff>0</xdr:colOff>
                <xdr:row>91</xdr:row>
                <xdr:rowOff>85725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 sizeWithCells="1">
              <from>
                <xdr:col>15</xdr:col>
                <xdr:colOff>38100</xdr:colOff>
                <xdr:row>92</xdr:row>
                <xdr:rowOff>133350</xdr:rowOff>
              </from>
              <to>
                <xdr:col>19</xdr:col>
                <xdr:colOff>200025</xdr:colOff>
                <xdr:row>94</xdr:row>
                <xdr:rowOff>104775</xdr:rowOff>
              </to>
            </anchor>
          </objectPr>
        </oleObject>
      </mc:Choice>
      <mc:Fallback>
        <oleObject progId="Equation.3" shapeId="1036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view="pageBreakPreview" zoomScaleNormal="100" zoomScaleSheetLayoutView="100" workbookViewId="0">
      <selection activeCell="M30" sqref="M30"/>
    </sheetView>
  </sheetViews>
  <sheetFormatPr defaultColWidth="9.140625" defaultRowHeight="12.75" x14ac:dyDescent="0.2"/>
  <cols>
    <col min="1" max="1" width="3.85546875" style="35" customWidth="1"/>
    <col min="2" max="2" width="5.85546875" style="26" customWidth="1"/>
    <col min="3" max="3" width="4" style="26" customWidth="1"/>
    <col min="4" max="4" width="4.42578125" style="26" customWidth="1"/>
    <col min="5" max="5" width="3.85546875" style="26" customWidth="1"/>
    <col min="6" max="6" width="6.85546875" style="34" customWidth="1"/>
    <col min="7" max="7" width="6.140625" style="35" customWidth="1"/>
    <col min="8" max="8" width="6.28515625" style="26" customWidth="1"/>
    <col min="9" max="9" width="10.85546875" style="26" customWidth="1"/>
    <col min="10" max="10" width="9.28515625" style="26" customWidth="1"/>
    <col min="11" max="11" width="9" style="26" customWidth="1"/>
    <col min="12" max="12" width="8.85546875" style="26" customWidth="1"/>
    <col min="13" max="13" width="13.140625" style="26" customWidth="1"/>
    <col min="14" max="14" width="11.85546875" style="26" customWidth="1"/>
    <col min="15" max="15" width="13.5703125" style="26" customWidth="1"/>
    <col min="16" max="16" width="9.140625" style="26"/>
    <col min="17" max="17" width="13.7109375" style="26" customWidth="1"/>
    <col min="18" max="16384" width="9.140625" style="26"/>
  </cols>
  <sheetData>
    <row r="1" spans="1:16" s="191" customFormat="1" ht="15.95" customHeight="1" x14ac:dyDescent="0.2">
      <c r="A1" s="118" t="s">
        <v>0</v>
      </c>
      <c r="B1" s="36"/>
      <c r="C1" s="36"/>
      <c r="D1" s="36"/>
      <c r="E1" s="385"/>
      <c r="F1" s="385"/>
      <c r="G1" s="404"/>
      <c r="I1" s="111"/>
      <c r="J1" s="228"/>
    </row>
    <row r="2" spans="1:16" s="191" customFormat="1" ht="15.95" customHeight="1" x14ac:dyDescent="0.2">
      <c r="A2" s="118" t="s">
        <v>128</v>
      </c>
      <c r="B2" s="36"/>
      <c r="C2" s="36"/>
      <c r="D2" s="36"/>
      <c r="E2" s="385"/>
      <c r="F2" s="385"/>
      <c r="G2" s="404"/>
      <c r="J2" s="228"/>
    </row>
    <row r="3" spans="1:16" s="191" customFormat="1" ht="15.95" customHeight="1" x14ac:dyDescent="0.2">
      <c r="A3" s="118" t="s">
        <v>129</v>
      </c>
      <c r="B3" s="36"/>
      <c r="C3" s="36"/>
      <c r="D3" s="36"/>
      <c r="E3" s="385"/>
      <c r="F3" s="385"/>
      <c r="G3" s="404"/>
      <c r="I3" s="110"/>
      <c r="J3" s="228"/>
    </row>
    <row r="4" spans="1:16" s="191" customFormat="1" ht="15.95" customHeight="1" x14ac:dyDescent="0.2">
      <c r="A4" s="118" t="s">
        <v>130</v>
      </c>
      <c r="B4" s="36"/>
      <c r="C4" s="36"/>
      <c r="D4" s="36"/>
      <c r="E4" s="385"/>
      <c r="F4" s="385"/>
      <c r="G4" s="404"/>
      <c r="J4" s="228"/>
    </row>
    <row r="5" spans="1:16" s="191" customFormat="1" ht="15.95" customHeight="1" x14ac:dyDescent="0.2">
      <c r="A5" s="118" t="s">
        <v>131</v>
      </c>
      <c r="B5" s="36"/>
      <c r="C5" s="36"/>
      <c r="D5" s="36"/>
      <c r="E5" s="385"/>
      <c r="F5" s="385"/>
      <c r="G5" s="404"/>
      <c r="J5" s="228"/>
    </row>
    <row r="6" spans="1:16" s="191" customFormat="1" ht="15.95" customHeight="1" x14ac:dyDescent="0.2">
      <c r="A6" s="118" t="s">
        <v>132</v>
      </c>
      <c r="B6" s="228"/>
      <c r="C6" s="228"/>
      <c r="D6" s="228"/>
      <c r="E6" s="42"/>
      <c r="F6" s="42"/>
      <c r="G6" s="385"/>
      <c r="J6" s="228"/>
    </row>
    <row r="7" spans="1:16" ht="16.5" customHeight="1" x14ac:dyDescent="0.2">
      <c r="A7" s="643" t="s">
        <v>508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355"/>
      <c r="O7" s="355"/>
      <c r="P7" s="355"/>
    </row>
    <row r="8" spans="1:16" ht="13.5" customHeight="1" x14ac:dyDescent="0.2">
      <c r="A8" s="658" t="s">
        <v>404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406"/>
      <c r="O8" s="406"/>
      <c r="P8" s="406"/>
    </row>
    <row r="9" spans="1:16" ht="20.100000000000001" customHeight="1" x14ac:dyDescent="0.2"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</row>
    <row r="10" spans="1:16" s="20" customFormat="1" ht="25.5" customHeight="1" x14ac:dyDescent="0.2">
      <c r="A10" s="669" t="s">
        <v>137</v>
      </c>
      <c r="B10" s="670"/>
      <c r="C10" s="670"/>
      <c r="D10" s="670"/>
      <c r="E10" s="671"/>
      <c r="F10" s="758" t="s">
        <v>134</v>
      </c>
      <c r="G10" s="761" t="s">
        <v>135</v>
      </c>
      <c r="H10" s="762"/>
      <c r="I10" s="763"/>
      <c r="J10" s="660" t="s">
        <v>136</v>
      </c>
      <c r="K10" s="669" t="s">
        <v>51</v>
      </c>
      <c r="L10" s="708"/>
      <c r="M10" s="709"/>
      <c r="N10" s="195"/>
      <c r="O10" s="106"/>
      <c r="P10" s="106"/>
    </row>
    <row r="11" spans="1:16" s="20" customFormat="1" ht="22.5" customHeight="1" x14ac:dyDescent="0.2">
      <c r="A11" s="666" t="s">
        <v>1</v>
      </c>
      <c r="B11" s="667"/>
      <c r="C11" s="667"/>
      <c r="D11" s="667"/>
      <c r="E11" s="668"/>
      <c r="F11" s="759"/>
      <c r="G11" s="660" t="s">
        <v>98</v>
      </c>
      <c r="H11" s="186" t="s">
        <v>125</v>
      </c>
      <c r="I11" s="660" t="s">
        <v>138</v>
      </c>
      <c r="J11" s="661"/>
      <c r="K11" s="710"/>
      <c r="L11" s="711"/>
      <c r="M11" s="712"/>
      <c r="N11" s="195"/>
      <c r="O11" s="195"/>
      <c r="P11" s="195"/>
    </row>
    <row r="12" spans="1:16" s="239" customFormat="1" ht="13.5" customHeight="1" x14ac:dyDescent="0.2">
      <c r="A12" s="230"/>
      <c r="B12" s="231"/>
      <c r="C12" s="231"/>
      <c r="D12" s="231"/>
      <c r="E12" s="232"/>
      <c r="F12" s="760"/>
      <c r="G12" s="672"/>
      <c r="H12" s="187"/>
      <c r="I12" s="662"/>
      <c r="J12" s="662"/>
      <c r="K12" s="710"/>
      <c r="L12" s="711"/>
      <c r="M12" s="712"/>
      <c r="N12" s="195"/>
      <c r="O12" s="195"/>
      <c r="P12" s="195"/>
    </row>
    <row r="13" spans="1:16" ht="21" customHeight="1" x14ac:dyDescent="0.2">
      <c r="A13" s="130"/>
      <c r="B13" s="20"/>
      <c r="C13" s="96"/>
      <c r="D13" s="129"/>
      <c r="E13" s="96"/>
      <c r="F13" s="95" t="s">
        <v>490</v>
      </c>
      <c r="G13" s="96">
        <v>1.1990000000000001</v>
      </c>
      <c r="H13" s="479"/>
      <c r="I13" s="480" t="s">
        <v>570</v>
      </c>
      <c r="J13" s="210"/>
      <c r="K13" s="713"/>
      <c r="L13" s="714"/>
      <c r="M13" s="715"/>
      <c r="N13" s="195"/>
      <c r="O13" s="195"/>
      <c r="P13" s="195"/>
    </row>
    <row r="14" spans="1:16" s="18" customFormat="1" ht="15" customHeight="1" x14ac:dyDescent="0.2">
      <c r="A14" s="140"/>
      <c r="B14" s="439" t="s">
        <v>13</v>
      </c>
      <c r="C14" s="51"/>
      <c r="D14" s="51"/>
      <c r="E14" s="38"/>
      <c r="F14" s="39"/>
      <c r="G14" s="40"/>
      <c r="H14" s="24"/>
      <c r="I14" s="24"/>
      <c r="J14" s="24"/>
      <c r="K14" s="24"/>
      <c r="L14" s="368"/>
      <c r="M14" s="368"/>
      <c r="N14" s="19"/>
      <c r="O14" s="19"/>
      <c r="P14" s="19"/>
    </row>
    <row r="15" spans="1:16" s="18" customFormat="1" ht="15" customHeight="1" x14ac:dyDescent="0.2">
      <c r="A15" s="429"/>
      <c r="B15" s="61" t="s">
        <v>14</v>
      </c>
      <c r="C15" s="56"/>
      <c r="D15" s="56"/>
      <c r="E15" s="57"/>
      <c r="F15" s="80"/>
      <c r="G15" s="81"/>
      <c r="H15" s="367"/>
      <c r="I15" s="367"/>
      <c r="J15" s="367"/>
      <c r="K15" s="367"/>
      <c r="L15" s="392"/>
      <c r="M15" s="392"/>
      <c r="N15" s="19"/>
      <c r="O15" s="19"/>
      <c r="P15" s="19"/>
    </row>
    <row r="16" spans="1:16" s="18" customFormat="1" ht="15" customHeight="1" x14ac:dyDescent="0.2">
      <c r="A16" s="429"/>
      <c r="B16" s="372" t="s">
        <v>161</v>
      </c>
      <c r="C16" s="82"/>
      <c r="D16" s="82"/>
      <c r="E16" s="83"/>
      <c r="F16" s="75"/>
      <c r="G16" s="375"/>
      <c r="H16" s="84"/>
      <c r="I16" s="84"/>
      <c r="J16" s="392"/>
      <c r="K16" s="392"/>
      <c r="L16" s="392"/>
      <c r="M16" s="392"/>
      <c r="N16" s="19"/>
      <c r="O16" s="19"/>
      <c r="P16" s="19"/>
    </row>
    <row r="17" spans="1:17" s="18" customFormat="1" ht="12.6" customHeight="1" x14ac:dyDescent="0.2">
      <c r="A17" s="807" t="s">
        <v>36</v>
      </c>
      <c r="B17" s="808" t="s">
        <v>139</v>
      </c>
      <c r="C17" s="809"/>
      <c r="D17" s="809"/>
      <c r="E17" s="810"/>
      <c r="F17" s="814" t="s">
        <v>172</v>
      </c>
      <c r="G17" s="815" t="s">
        <v>10</v>
      </c>
      <c r="H17" s="816">
        <v>4.5</v>
      </c>
      <c r="I17" s="804">
        <f>ROUND(8000*1*1.06*1*(0+1*1.25)*40%*1*1*$G$13,2)</f>
        <v>5083.76</v>
      </c>
      <c r="J17" s="804">
        <f>H17*I17</f>
        <v>22876.920000000002</v>
      </c>
      <c r="K17" s="428" t="s">
        <v>114</v>
      </c>
      <c r="L17" s="428"/>
      <c r="M17" s="428"/>
      <c r="N17" s="19"/>
      <c r="O17" s="107"/>
      <c r="P17" s="107"/>
    </row>
    <row r="18" spans="1:17" s="18" customFormat="1" ht="12.6" customHeight="1" x14ac:dyDescent="0.2">
      <c r="A18" s="727"/>
      <c r="B18" s="811"/>
      <c r="C18" s="812"/>
      <c r="D18" s="812"/>
      <c r="E18" s="813"/>
      <c r="F18" s="814"/>
      <c r="G18" s="815"/>
      <c r="H18" s="816"/>
      <c r="I18" s="804"/>
      <c r="J18" s="804"/>
      <c r="K18" s="11" t="s">
        <v>121</v>
      </c>
      <c r="L18" s="11"/>
      <c r="M18" s="11"/>
      <c r="N18" s="19"/>
      <c r="O18" s="108"/>
      <c r="P18" s="108"/>
    </row>
    <row r="19" spans="1:17" s="18" customFormat="1" ht="12.6" customHeight="1" x14ac:dyDescent="0.2">
      <c r="A19" s="727"/>
      <c r="B19" s="811"/>
      <c r="C19" s="812"/>
      <c r="D19" s="812"/>
      <c r="E19" s="813"/>
      <c r="F19" s="814"/>
      <c r="G19" s="815"/>
      <c r="H19" s="816"/>
      <c r="I19" s="804"/>
      <c r="J19" s="804"/>
      <c r="K19" s="11" t="s">
        <v>182</v>
      </c>
      <c r="L19" s="11"/>
      <c r="M19" s="11"/>
      <c r="O19" s="19">
        <f>1.625-0.125*4.5</f>
        <v>1.0625</v>
      </c>
      <c r="P19" s="107"/>
      <c r="Q19" s="92"/>
    </row>
    <row r="20" spans="1:17" s="18" customFormat="1" ht="27" customHeight="1" x14ac:dyDescent="0.2">
      <c r="A20" s="727"/>
      <c r="B20" s="811"/>
      <c r="C20" s="812"/>
      <c r="D20" s="812"/>
      <c r="E20" s="813"/>
      <c r="F20" s="814"/>
      <c r="G20" s="815"/>
      <c r="H20" s="816"/>
      <c r="I20" s="804"/>
      <c r="J20" s="804"/>
      <c r="K20" s="696" t="s">
        <v>113</v>
      </c>
      <c r="L20" s="697"/>
      <c r="M20" s="698"/>
      <c r="N20" s="364"/>
      <c r="O20" s="401"/>
      <c r="P20" s="401"/>
      <c r="Q20" s="211"/>
    </row>
    <row r="21" spans="1:17" s="18" customFormat="1" ht="25.5" customHeight="1" x14ac:dyDescent="0.2">
      <c r="A21" s="727"/>
      <c r="B21" s="811"/>
      <c r="C21" s="812"/>
      <c r="D21" s="812"/>
      <c r="E21" s="813"/>
      <c r="F21" s="814"/>
      <c r="G21" s="815"/>
      <c r="H21" s="816"/>
      <c r="I21" s="804"/>
      <c r="J21" s="804"/>
      <c r="K21" s="696" t="s">
        <v>145</v>
      </c>
      <c r="L21" s="697"/>
      <c r="M21" s="698"/>
      <c r="N21" s="364"/>
      <c r="O21" s="401"/>
      <c r="P21" s="401"/>
    </row>
    <row r="22" spans="1:17" s="18" customFormat="1" ht="15" customHeight="1" x14ac:dyDescent="0.2">
      <c r="A22" s="727"/>
      <c r="B22" s="811"/>
      <c r="C22" s="812"/>
      <c r="D22" s="812"/>
      <c r="E22" s="813"/>
      <c r="F22" s="814"/>
      <c r="G22" s="815"/>
      <c r="H22" s="816"/>
      <c r="I22" s="804"/>
      <c r="J22" s="804"/>
      <c r="K22" s="696" t="s">
        <v>183</v>
      </c>
      <c r="L22" s="697"/>
      <c r="M22" s="698"/>
      <c r="N22" s="364"/>
      <c r="O22" s="401"/>
      <c r="P22" s="401"/>
    </row>
    <row r="23" spans="1:17" s="18" customFormat="1" ht="26.25" customHeight="1" x14ac:dyDescent="0.2">
      <c r="A23" s="727"/>
      <c r="B23" s="811"/>
      <c r="C23" s="812"/>
      <c r="D23" s="812"/>
      <c r="E23" s="813"/>
      <c r="F23" s="814"/>
      <c r="G23" s="815"/>
      <c r="H23" s="816"/>
      <c r="I23" s="804"/>
      <c r="J23" s="804"/>
      <c r="K23" s="696" t="s">
        <v>142</v>
      </c>
      <c r="L23" s="805"/>
      <c r="M23" s="806"/>
      <c r="N23" s="247"/>
      <c r="O23" s="401"/>
      <c r="P23" s="401"/>
    </row>
    <row r="24" spans="1:17" s="18" customFormat="1" ht="12" customHeight="1" x14ac:dyDescent="0.2">
      <c r="A24" s="727"/>
      <c r="B24" s="811"/>
      <c r="C24" s="812"/>
      <c r="D24" s="812"/>
      <c r="E24" s="813"/>
      <c r="F24" s="814"/>
      <c r="G24" s="815"/>
      <c r="H24" s="816"/>
      <c r="I24" s="804"/>
      <c r="J24" s="804"/>
      <c r="K24" s="11" t="s">
        <v>81</v>
      </c>
      <c r="L24" s="11"/>
      <c r="M24" s="11"/>
      <c r="N24" s="19"/>
      <c r="O24" s="401"/>
      <c r="P24" s="401"/>
    </row>
    <row r="25" spans="1:17" s="18" customFormat="1" ht="13.5" customHeight="1" x14ac:dyDescent="0.2">
      <c r="A25" s="727"/>
      <c r="B25" s="811"/>
      <c r="C25" s="812"/>
      <c r="D25" s="812"/>
      <c r="E25" s="813"/>
      <c r="F25" s="814"/>
      <c r="G25" s="815"/>
      <c r="H25" s="816"/>
      <c r="I25" s="804"/>
      <c r="J25" s="804"/>
      <c r="K25" s="696" t="s">
        <v>82</v>
      </c>
      <c r="L25" s="802"/>
      <c r="M25" s="803"/>
      <c r="N25" s="17"/>
      <c r="O25" s="401"/>
      <c r="P25" s="401"/>
    </row>
    <row r="26" spans="1:17" s="18" customFormat="1" ht="14.25" customHeight="1" x14ac:dyDescent="0.2">
      <c r="A26" s="728"/>
      <c r="B26" s="811"/>
      <c r="C26" s="812"/>
      <c r="D26" s="812"/>
      <c r="E26" s="813"/>
      <c r="F26" s="814"/>
      <c r="G26" s="815"/>
      <c r="H26" s="816"/>
      <c r="I26" s="804"/>
      <c r="J26" s="804"/>
      <c r="K26" s="60" t="s">
        <v>66</v>
      </c>
      <c r="L26" s="60"/>
      <c r="M26" s="60"/>
      <c r="N26" s="19"/>
      <c r="O26" s="401"/>
      <c r="P26" s="401"/>
    </row>
    <row r="27" spans="1:17" s="18" customFormat="1" ht="14.25" customHeight="1" x14ac:dyDescent="0.2">
      <c r="A27" s="435"/>
      <c r="B27" s="377"/>
      <c r="C27" s="378"/>
      <c r="D27" s="378"/>
      <c r="E27" s="379"/>
      <c r="F27" s="68"/>
      <c r="G27" s="69"/>
      <c r="H27" s="85"/>
      <c r="I27" s="71" t="s">
        <v>59</v>
      </c>
      <c r="J27" s="368">
        <f>SUM(J17)</f>
        <v>22876.920000000002</v>
      </c>
      <c r="K27" s="392"/>
      <c r="L27" s="392"/>
      <c r="M27" s="392"/>
      <c r="N27" s="19"/>
      <c r="O27" s="401"/>
      <c r="P27" s="401"/>
    </row>
    <row r="28" spans="1:17" s="18" customFormat="1" ht="15" customHeight="1" x14ac:dyDescent="0.2">
      <c r="A28" s="443"/>
      <c r="B28" s="445" t="s">
        <v>49</v>
      </c>
      <c r="C28" s="82"/>
      <c r="D28" s="82"/>
      <c r="E28" s="83"/>
      <c r="F28" s="75"/>
      <c r="G28" s="436"/>
      <c r="H28" s="432"/>
      <c r="I28" s="86"/>
      <c r="J28" s="367"/>
      <c r="K28" s="392"/>
      <c r="L28" s="392"/>
      <c r="M28" s="392"/>
      <c r="N28" s="19"/>
      <c r="O28" s="19"/>
      <c r="P28" s="19"/>
    </row>
    <row r="29" spans="1:17" s="18" customFormat="1" ht="12.6" customHeight="1" x14ac:dyDescent="0.2">
      <c r="A29" s="726" t="s">
        <v>37</v>
      </c>
      <c r="B29" s="746" t="s">
        <v>144</v>
      </c>
      <c r="C29" s="747"/>
      <c r="D29" s="747"/>
      <c r="E29" s="748"/>
      <c r="F29" s="735" t="s">
        <v>172</v>
      </c>
      <c r="G29" s="726" t="s">
        <v>10</v>
      </c>
      <c r="H29" s="741">
        <v>3.9</v>
      </c>
      <c r="I29" s="722">
        <f>ROUND(8000*1*1.06*1*(0+1*1.25)*40%*1*1*$G$13,2)</f>
        <v>5083.76</v>
      </c>
      <c r="J29" s="722">
        <f>H29*I29</f>
        <v>19826.664000000001</v>
      </c>
      <c r="K29" s="428" t="s">
        <v>114</v>
      </c>
      <c r="L29" s="428"/>
      <c r="M29" s="428"/>
      <c r="N29" s="741">
        <v>3.9</v>
      </c>
      <c r="O29" s="722">
        <f>ROUND(8000*1*1.06*1*(0+1*1.25)*100%*1*1*$G$13,2)</f>
        <v>12709.4</v>
      </c>
      <c r="P29" s="722">
        <f>N29*O29</f>
        <v>49566.659999999996</v>
      </c>
    </row>
    <row r="30" spans="1:17" s="18" customFormat="1" ht="12.6" customHeight="1" x14ac:dyDescent="0.2">
      <c r="A30" s="727"/>
      <c r="B30" s="749"/>
      <c r="C30" s="750"/>
      <c r="D30" s="750"/>
      <c r="E30" s="751"/>
      <c r="F30" s="736"/>
      <c r="G30" s="727"/>
      <c r="H30" s="742"/>
      <c r="I30" s="725"/>
      <c r="J30" s="744"/>
      <c r="K30" s="11" t="s">
        <v>121</v>
      </c>
      <c r="L30" s="11"/>
      <c r="M30" s="11"/>
      <c r="N30" s="742"/>
      <c r="O30" s="725"/>
      <c r="P30" s="744"/>
    </row>
    <row r="31" spans="1:17" s="18" customFormat="1" ht="12.6" customHeight="1" x14ac:dyDescent="0.2">
      <c r="A31" s="727"/>
      <c r="B31" s="749"/>
      <c r="C31" s="750"/>
      <c r="D31" s="750"/>
      <c r="E31" s="751"/>
      <c r="F31" s="736"/>
      <c r="G31" s="727"/>
      <c r="H31" s="742"/>
      <c r="I31" s="725"/>
      <c r="J31" s="744"/>
      <c r="K31" s="11" t="s">
        <v>182</v>
      </c>
      <c r="L31" s="11"/>
      <c r="M31" s="11"/>
      <c r="N31" s="742"/>
      <c r="O31" s="725"/>
      <c r="P31" s="744"/>
    </row>
    <row r="32" spans="1:17" s="18" customFormat="1" ht="24.75" customHeight="1" x14ac:dyDescent="0.2">
      <c r="A32" s="727"/>
      <c r="B32" s="749"/>
      <c r="C32" s="750"/>
      <c r="D32" s="750"/>
      <c r="E32" s="751"/>
      <c r="F32" s="736"/>
      <c r="G32" s="727"/>
      <c r="H32" s="742"/>
      <c r="I32" s="725"/>
      <c r="J32" s="744"/>
      <c r="K32" s="696" t="s">
        <v>113</v>
      </c>
      <c r="L32" s="697"/>
      <c r="M32" s="698"/>
      <c r="N32" s="742"/>
      <c r="O32" s="725"/>
      <c r="P32" s="744"/>
    </row>
    <row r="33" spans="1:16" s="18" customFormat="1" ht="18.75" customHeight="1" x14ac:dyDescent="0.2">
      <c r="A33" s="727"/>
      <c r="B33" s="749"/>
      <c r="C33" s="750"/>
      <c r="D33" s="750"/>
      <c r="E33" s="751"/>
      <c r="F33" s="736"/>
      <c r="G33" s="727"/>
      <c r="H33" s="742"/>
      <c r="I33" s="725"/>
      <c r="J33" s="744"/>
      <c r="K33" s="696" t="s">
        <v>184</v>
      </c>
      <c r="L33" s="697"/>
      <c r="M33" s="698"/>
      <c r="N33" s="742"/>
      <c r="O33" s="725"/>
      <c r="P33" s="744"/>
    </row>
    <row r="34" spans="1:16" s="18" customFormat="1" ht="38.25" customHeight="1" x14ac:dyDescent="0.2">
      <c r="A34" s="727"/>
      <c r="B34" s="749"/>
      <c r="C34" s="750"/>
      <c r="D34" s="750"/>
      <c r="E34" s="751"/>
      <c r="F34" s="736"/>
      <c r="G34" s="727"/>
      <c r="H34" s="742"/>
      <c r="I34" s="725"/>
      <c r="J34" s="744"/>
      <c r="K34" s="696" t="s">
        <v>355</v>
      </c>
      <c r="L34" s="697"/>
      <c r="M34" s="698"/>
      <c r="N34" s="742"/>
      <c r="O34" s="725"/>
      <c r="P34" s="744"/>
    </row>
    <row r="35" spans="1:16" s="18" customFormat="1" ht="15.75" customHeight="1" x14ac:dyDescent="0.2">
      <c r="A35" s="727"/>
      <c r="B35" s="749"/>
      <c r="C35" s="750"/>
      <c r="D35" s="750"/>
      <c r="E35" s="751"/>
      <c r="F35" s="736"/>
      <c r="G35" s="727"/>
      <c r="H35" s="742"/>
      <c r="I35" s="725"/>
      <c r="J35" s="744"/>
      <c r="K35" s="696" t="s">
        <v>143</v>
      </c>
      <c r="L35" s="697"/>
      <c r="M35" s="698"/>
      <c r="N35" s="742"/>
      <c r="O35" s="725"/>
      <c r="P35" s="744"/>
    </row>
    <row r="36" spans="1:16" s="18" customFormat="1" ht="10.5" customHeight="1" x14ac:dyDescent="0.2">
      <c r="A36" s="727"/>
      <c r="B36" s="749"/>
      <c r="C36" s="750"/>
      <c r="D36" s="750"/>
      <c r="E36" s="751"/>
      <c r="F36" s="736"/>
      <c r="G36" s="727"/>
      <c r="H36" s="742"/>
      <c r="I36" s="725"/>
      <c r="J36" s="744"/>
      <c r="K36" s="11" t="s">
        <v>81</v>
      </c>
      <c r="L36" s="11"/>
      <c r="M36" s="11"/>
      <c r="N36" s="742"/>
      <c r="O36" s="725"/>
      <c r="P36" s="744"/>
    </row>
    <row r="37" spans="1:16" s="18" customFormat="1" ht="21" customHeight="1" x14ac:dyDescent="0.2">
      <c r="A37" s="727"/>
      <c r="B37" s="749"/>
      <c r="C37" s="750"/>
      <c r="D37" s="750"/>
      <c r="E37" s="751"/>
      <c r="F37" s="736"/>
      <c r="G37" s="727"/>
      <c r="H37" s="742"/>
      <c r="I37" s="725"/>
      <c r="J37" s="744"/>
      <c r="K37" s="696" t="s">
        <v>82</v>
      </c>
      <c r="L37" s="817"/>
      <c r="M37" s="818"/>
      <c r="N37" s="742"/>
      <c r="O37" s="725"/>
      <c r="P37" s="744"/>
    </row>
    <row r="38" spans="1:16" s="18" customFormat="1" ht="12.6" customHeight="1" x14ac:dyDescent="0.2">
      <c r="A38" s="728"/>
      <c r="B38" s="752"/>
      <c r="C38" s="753"/>
      <c r="D38" s="753"/>
      <c r="E38" s="754"/>
      <c r="F38" s="737"/>
      <c r="G38" s="728"/>
      <c r="H38" s="743"/>
      <c r="I38" s="724"/>
      <c r="J38" s="745"/>
      <c r="K38" s="60" t="s">
        <v>66</v>
      </c>
      <c r="L38" s="60"/>
      <c r="M38" s="60"/>
      <c r="N38" s="743"/>
      <c r="O38" s="724"/>
      <c r="P38" s="745"/>
    </row>
    <row r="39" spans="1:16" s="18" customFormat="1" ht="12.6" customHeight="1" x14ac:dyDescent="0.2">
      <c r="A39" s="206"/>
      <c r="B39" s="390"/>
      <c r="C39" s="390"/>
      <c r="D39" s="390"/>
      <c r="E39" s="391"/>
      <c r="F39" s="212"/>
      <c r="G39" s="395"/>
      <c r="H39" s="395"/>
      <c r="I39" s="71" t="s">
        <v>59</v>
      </c>
      <c r="J39" s="98">
        <f>SUM(J29:J38)</f>
        <v>19826.664000000001</v>
      </c>
      <c r="K39" s="437"/>
      <c r="L39" s="486"/>
      <c r="M39" s="438"/>
      <c r="N39" s="19"/>
      <c r="O39" s="19"/>
      <c r="P39" s="19"/>
    </row>
    <row r="40" spans="1:16" s="444" customFormat="1" ht="15" customHeight="1" x14ac:dyDescent="0.2">
      <c r="A40" s="799" t="s">
        <v>496</v>
      </c>
      <c r="B40" s="800"/>
      <c r="C40" s="800"/>
      <c r="D40" s="800"/>
      <c r="E40" s="800"/>
      <c r="F40" s="800"/>
      <c r="G40" s="800"/>
      <c r="H40" s="800"/>
      <c r="I40" s="801"/>
      <c r="J40" s="482">
        <f>J27+J39</f>
        <v>42703.584000000003</v>
      </c>
      <c r="K40" s="487"/>
      <c r="L40" s="488"/>
      <c r="M40" s="489"/>
    </row>
    <row r="41" spans="1:16" s="444" customFormat="1" ht="25.5" customHeight="1" x14ac:dyDescent="0.2">
      <c r="A41" s="790" t="s">
        <v>497</v>
      </c>
      <c r="B41" s="791"/>
      <c r="C41" s="791"/>
      <c r="D41" s="791"/>
      <c r="E41" s="791"/>
      <c r="F41" s="791"/>
      <c r="G41" s="791"/>
      <c r="H41" s="791"/>
      <c r="I41" s="792"/>
      <c r="J41" s="483">
        <f>P29</f>
        <v>49566.659999999996</v>
      </c>
      <c r="K41" s="490"/>
      <c r="L41" s="484"/>
      <c r="M41" s="485"/>
    </row>
    <row r="42" spans="1:16" s="18" customFormat="1" ht="12" customHeight="1" x14ac:dyDescent="0.2">
      <c r="A42" s="140"/>
      <c r="B42" s="52" t="s">
        <v>433</v>
      </c>
      <c r="C42" s="424"/>
      <c r="D42" s="425"/>
      <c r="E42" s="426"/>
      <c r="F42" s="39"/>
      <c r="G42" s="40"/>
      <c r="H42" s="41"/>
      <c r="I42" s="79"/>
      <c r="J42" s="24"/>
      <c r="K42" s="24"/>
      <c r="L42" s="24"/>
      <c r="M42" s="24"/>
      <c r="N42" s="19"/>
      <c r="O42" s="19"/>
      <c r="P42" s="19"/>
    </row>
    <row r="43" spans="1:16" s="18" customFormat="1" ht="12.6" customHeight="1" x14ac:dyDescent="0.2">
      <c r="A43" s="821" t="s">
        <v>434</v>
      </c>
      <c r="B43" s="729" t="s">
        <v>435</v>
      </c>
      <c r="C43" s="689"/>
      <c r="D43" s="689"/>
      <c r="E43" s="690"/>
      <c r="F43" s="735" t="s">
        <v>172</v>
      </c>
      <c r="G43" s="821" t="s">
        <v>10</v>
      </c>
      <c r="H43" s="793">
        <v>0.5</v>
      </c>
      <c r="I43" s="722">
        <f>ROUND(8000*1*1.5*1*(0+1*1.25)*62.5%*1*1*$G$13,2)</f>
        <v>11240.63</v>
      </c>
      <c r="J43" s="796">
        <f>H43*I43</f>
        <v>5620.3149999999996</v>
      </c>
      <c r="K43" s="428" t="s">
        <v>436</v>
      </c>
      <c r="L43" s="428"/>
      <c r="M43" s="428"/>
      <c r="N43" s="793">
        <v>0.5</v>
      </c>
      <c r="O43" s="722">
        <f>ROUND(8000*1*1.5*1*(0+1*1.25)*100%*1*1*$G$13,2)</f>
        <v>17985</v>
      </c>
      <c r="P43" s="796">
        <f>N43*O43</f>
        <v>8992.5</v>
      </c>
    </row>
    <row r="44" spans="1:16" s="18" customFormat="1" ht="12.6" customHeight="1" x14ac:dyDescent="0.2">
      <c r="A44" s="822"/>
      <c r="B44" s="764"/>
      <c r="C44" s="778"/>
      <c r="D44" s="778"/>
      <c r="E44" s="693"/>
      <c r="F44" s="736"/>
      <c r="G44" s="822"/>
      <c r="H44" s="794"/>
      <c r="I44" s="725"/>
      <c r="J44" s="797"/>
      <c r="K44" s="11" t="s">
        <v>437</v>
      </c>
      <c r="L44" s="11"/>
      <c r="M44" s="11"/>
      <c r="N44" s="794"/>
      <c r="O44" s="725"/>
      <c r="P44" s="797"/>
    </row>
    <row r="45" spans="1:16" s="18" customFormat="1" ht="12.6" customHeight="1" x14ac:dyDescent="0.2">
      <c r="A45" s="822"/>
      <c r="B45" s="764"/>
      <c r="C45" s="778"/>
      <c r="D45" s="778"/>
      <c r="E45" s="693"/>
      <c r="F45" s="736"/>
      <c r="G45" s="822"/>
      <c r="H45" s="794"/>
      <c r="I45" s="725"/>
      <c r="J45" s="797"/>
      <c r="K45" s="696" t="s">
        <v>438</v>
      </c>
      <c r="L45" s="697"/>
      <c r="M45" s="698"/>
      <c r="N45" s="794"/>
      <c r="O45" s="725"/>
      <c r="P45" s="797"/>
    </row>
    <row r="46" spans="1:16" s="18" customFormat="1" ht="26.45" customHeight="1" x14ac:dyDescent="0.2">
      <c r="A46" s="822"/>
      <c r="B46" s="764"/>
      <c r="C46" s="778"/>
      <c r="D46" s="778"/>
      <c r="E46" s="693"/>
      <c r="F46" s="736"/>
      <c r="G46" s="822"/>
      <c r="H46" s="794"/>
      <c r="I46" s="725"/>
      <c r="J46" s="797"/>
      <c r="K46" s="696" t="s">
        <v>439</v>
      </c>
      <c r="L46" s="697"/>
      <c r="M46" s="698"/>
      <c r="N46" s="794"/>
      <c r="O46" s="725"/>
      <c r="P46" s="797"/>
    </row>
    <row r="47" spans="1:16" s="18" customFormat="1" ht="12.6" customHeight="1" x14ac:dyDescent="0.2">
      <c r="A47" s="822"/>
      <c r="B47" s="764"/>
      <c r="C47" s="778"/>
      <c r="D47" s="778"/>
      <c r="E47" s="693"/>
      <c r="F47" s="736"/>
      <c r="G47" s="822"/>
      <c r="H47" s="794"/>
      <c r="I47" s="725"/>
      <c r="J47" s="797"/>
      <c r="K47" s="696" t="s">
        <v>145</v>
      </c>
      <c r="L47" s="802"/>
      <c r="M47" s="803"/>
      <c r="N47" s="794"/>
      <c r="O47" s="725"/>
      <c r="P47" s="797"/>
    </row>
    <row r="48" spans="1:16" s="18" customFormat="1" ht="12.6" customHeight="1" x14ac:dyDescent="0.2">
      <c r="A48" s="822"/>
      <c r="B48" s="764"/>
      <c r="C48" s="778"/>
      <c r="D48" s="778"/>
      <c r="E48" s="693"/>
      <c r="F48" s="736"/>
      <c r="G48" s="822"/>
      <c r="H48" s="794"/>
      <c r="I48" s="725"/>
      <c r="J48" s="797"/>
      <c r="K48" s="696" t="s">
        <v>440</v>
      </c>
      <c r="L48" s="697"/>
      <c r="M48" s="698"/>
      <c r="N48" s="794"/>
      <c r="O48" s="725"/>
      <c r="P48" s="797"/>
    </row>
    <row r="49" spans="1:21" s="18" customFormat="1" ht="27.75" customHeight="1" x14ac:dyDescent="0.2">
      <c r="A49" s="822"/>
      <c r="B49" s="764"/>
      <c r="C49" s="778"/>
      <c r="D49" s="778"/>
      <c r="E49" s="693"/>
      <c r="F49" s="736"/>
      <c r="G49" s="822"/>
      <c r="H49" s="794"/>
      <c r="I49" s="725"/>
      <c r="J49" s="797"/>
      <c r="K49" s="696" t="s">
        <v>441</v>
      </c>
      <c r="L49" s="697"/>
      <c r="M49" s="698"/>
      <c r="N49" s="794"/>
      <c r="O49" s="725"/>
      <c r="P49" s="797"/>
      <c r="S49" s="437"/>
      <c r="T49" s="486"/>
      <c r="U49" s="438"/>
    </row>
    <row r="50" spans="1:21" s="18" customFormat="1" ht="12.6" customHeight="1" x14ac:dyDescent="0.2">
      <c r="A50" s="822"/>
      <c r="B50" s="764"/>
      <c r="C50" s="778"/>
      <c r="D50" s="778"/>
      <c r="E50" s="693"/>
      <c r="F50" s="736"/>
      <c r="G50" s="822"/>
      <c r="H50" s="794"/>
      <c r="I50" s="725"/>
      <c r="J50" s="797"/>
      <c r="K50" s="11" t="s">
        <v>442</v>
      </c>
      <c r="L50" s="11"/>
      <c r="M50" s="11"/>
      <c r="N50" s="794"/>
      <c r="O50" s="725"/>
      <c r="P50" s="797"/>
      <c r="S50" s="487"/>
      <c r="T50" s="488"/>
      <c r="U50" s="489"/>
    </row>
    <row r="51" spans="1:21" s="18" customFormat="1" ht="12.6" customHeight="1" x14ac:dyDescent="0.2">
      <c r="A51" s="822"/>
      <c r="B51" s="764"/>
      <c r="C51" s="778"/>
      <c r="D51" s="778"/>
      <c r="E51" s="693"/>
      <c r="F51" s="736"/>
      <c r="G51" s="822"/>
      <c r="H51" s="794"/>
      <c r="I51" s="725"/>
      <c r="J51" s="797"/>
      <c r="K51" s="696" t="s">
        <v>82</v>
      </c>
      <c r="L51" s="817"/>
      <c r="M51" s="818"/>
      <c r="N51" s="794"/>
      <c r="O51" s="725"/>
      <c r="P51" s="797"/>
      <c r="S51" s="490"/>
      <c r="T51" s="484"/>
      <c r="U51" s="485"/>
    </row>
    <row r="52" spans="1:21" s="18" customFormat="1" ht="12.6" customHeight="1" x14ac:dyDescent="0.2">
      <c r="A52" s="823"/>
      <c r="B52" s="779"/>
      <c r="C52" s="780"/>
      <c r="D52" s="780"/>
      <c r="E52" s="781"/>
      <c r="F52" s="737"/>
      <c r="G52" s="823"/>
      <c r="H52" s="795"/>
      <c r="I52" s="724"/>
      <c r="J52" s="798"/>
      <c r="K52" s="819" t="s">
        <v>66</v>
      </c>
      <c r="L52" s="820"/>
      <c r="M52" s="820"/>
      <c r="N52" s="795"/>
      <c r="O52" s="724"/>
      <c r="P52" s="798"/>
    </row>
    <row r="53" spans="1:21" s="18" customFormat="1" ht="15" customHeight="1" x14ac:dyDescent="0.2">
      <c r="A53" s="787" t="s">
        <v>498</v>
      </c>
      <c r="B53" s="788"/>
      <c r="C53" s="788"/>
      <c r="D53" s="788"/>
      <c r="E53" s="788"/>
      <c r="F53" s="788"/>
      <c r="G53" s="788"/>
      <c r="H53" s="788"/>
      <c r="I53" s="789"/>
      <c r="J53" s="98">
        <f>SUM(J43:J52)</f>
        <v>5620.3149999999996</v>
      </c>
      <c r="K53" s="437"/>
      <c r="L53" s="486"/>
      <c r="M53" s="438"/>
      <c r="N53" s="19"/>
      <c r="O53" s="401"/>
      <c r="P53" s="401"/>
    </row>
    <row r="54" spans="1:21" s="18" customFormat="1" ht="22.5" customHeight="1" x14ac:dyDescent="0.2">
      <c r="A54" s="790" t="s">
        <v>499</v>
      </c>
      <c r="B54" s="791"/>
      <c r="C54" s="791"/>
      <c r="D54" s="791"/>
      <c r="E54" s="791"/>
      <c r="F54" s="791"/>
      <c r="G54" s="791"/>
      <c r="H54" s="791"/>
      <c r="I54" s="792"/>
      <c r="J54" s="98">
        <f>P43</f>
        <v>8992.5</v>
      </c>
      <c r="K54" s="440"/>
      <c r="L54" s="491"/>
      <c r="M54" s="138"/>
      <c r="N54" s="19"/>
      <c r="O54" s="434"/>
      <c r="P54" s="434"/>
    </row>
    <row r="55" spans="1:21" s="18" customFormat="1" ht="15" customHeight="1" x14ac:dyDescent="0.2">
      <c r="A55" s="140"/>
      <c r="B55" s="52" t="s">
        <v>15</v>
      </c>
      <c r="C55" s="51"/>
      <c r="D55" s="51"/>
      <c r="E55" s="38"/>
      <c r="F55" s="39"/>
      <c r="G55" s="40"/>
      <c r="H55" s="41"/>
      <c r="I55" s="24"/>
      <c r="J55" s="24"/>
      <c r="K55" s="24"/>
      <c r="L55" s="24"/>
      <c r="M55" s="24"/>
      <c r="N55" s="19"/>
      <c r="O55" s="19"/>
      <c r="P55" s="19"/>
    </row>
    <row r="56" spans="1:21" s="18" customFormat="1" ht="15" customHeight="1" x14ac:dyDescent="0.2">
      <c r="A56" s="429"/>
      <c r="B56" s="45" t="s">
        <v>162</v>
      </c>
      <c r="C56" s="152"/>
      <c r="D56" s="152"/>
      <c r="E56" s="153"/>
      <c r="F56" s="7"/>
      <c r="G56" s="8"/>
      <c r="H56" s="9"/>
      <c r="I56" s="10"/>
      <c r="J56" s="11"/>
      <c r="K56" s="367"/>
      <c r="L56" s="367"/>
      <c r="M56" s="367"/>
      <c r="N56" s="19"/>
      <c r="O56" s="19"/>
      <c r="P56" s="19"/>
    </row>
    <row r="57" spans="1:21" s="18" customFormat="1" ht="12.6" customHeight="1" x14ac:dyDescent="0.2">
      <c r="A57" s="726" t="s">
        <v>176</v>
      </c>
      <c r="B57" s="827" t="s">
        <v>353</v>
      </c>
      <c r="C57" s="827"/>
      <c r="D57" s="827"/>
      <c r="E57" s="827"/>
      <c r="F57" s="735" t="s">
        <v>173</v>
      </c>
      <c r="G57" s="726" t="s">
        <v>5</v>
      </c>
      <c r="H57" s="738">
        <v>2</v>
      </c>
      <c r="I57" s="722">
        <f>ROUND(10000*1*1.06*1*(1+1*0.25)*67.5%*0.5*1*$G$13,2)</f>
        <v>5361.78</v>
      </c>
      <c r="J57" s="722">
        <f>H57*I57</f>
        <v>10723.56</v>
      </c>
      <c r="K57" s="684" t="s">
        <v>67</v>
      </c>
      <c r="L57" s="694"/>
      <c r="M57" s="695"/>
      <c r="N57" s="738">
        <v>2</v>
      </c>
      <c r="O57" s="722">
        <f>ROUND(10000*1*1.06*1*(1+1*0.25)*100%*0.5*1*$G$13,2)</f>
        <v>7943.38</v>
      </c>
      <c r="P57" s="722">
        <f>N57*O57</f>
        <v>15886.76</v>
      </c>
    </row>
    <row r="58" spans="1:21" s="18" customFormat="1" ht="25.5" customHeight="1" x14ac:dyDescent="0.2">
      <c r="A58" s="771"/>
      <c r="B58" s="828"/>
      <c r="C58" s="828"/>
      <c r="D58" s="828"/>
      <c r="E58" s="828"/>
      <c r="F58" s="773"/>
      <c r="G58" s="771"/>
      <c r="H58" s="785"/>
      <c r="I58" s="744"/>
      <c r="J58" s="744"/>
      <c r="K58" s="696" t="s">
        <v>146</v>
      </c>
      <c r="L58" s="697"/>
      <c r="M58" s="698"/>
      <c r="N58" s="785"/>
      <c r="O58" s="744"/>
      <c r="P58" s="744"/>
    </row>
    <row r="59" spans="1:21" s="18" customFormat="1" ht="10.5" customHeight="1" x14ac:dyDescent="0.2">
      <c r="A59" s="771"/>
      <c r="B59" s="828"/>
      <c r="C59" s="828"/>
      <c r="D59" s="828"/>
      <c r="E59" s="828"/>
      <c r="F59" s="773"/>
      <c r="G59" s="771"/>
      <c r="H59" s="785"/>
      <c r="I59" s="744"/>
      <c r="J59" s="744"/>
      <c r="K59" s="696" t="s">
        <v>464</v>
      </c>
      <c r="L59" s="697"/>
      <c r="M59" s="698"/>
      <c r="N59" s="785"/>
      <c r="O59" s="744"/>
      <c r="P59" s="744"/>
    </row>
    <row r="60" spans="1:21" s="18" customFormat="1" ht="26.25" customHeight="1" x14ac:dyDescent="0.2">
      <c r="A60" s="771"/>
      <c r="B60" s="828"/>
      <c r="C60" s="828"/>
      <c r="D60" s="828"/>
      <c r="E60" s="828"/>
      <c r="F60" s="773"/>
      <c r="G60" s="771"/>
      <c r="H60" s="785"/>
      <c r="I60" s="744"/>
      <c r="J60" s="744"/>
      <c r="K60" s="696" t="s">
        <v>116</v>
      </c>
      <c r="L60" s="697"/>
      <c r="M60" s="698"/>
      <c r="N60" s="785"/>
      <c r="O60" s="744"/>
      <c r="P60" s="744"/>
    </row>
    <row r="61" spans="1:21" s="18" customFormat="1" ht="24" customHeight="1" x14ac:dyDescent="0.2">
      <c r="A61" s="771"/>
      <c r="B61" s="828"/>
      <c r="C61" s="828"/>
      <c r="D61" s="828"/>
      <c r="E61" s="828"/>
      <c r="F61" s="773"/>
      <c r="G61" s="771"/>
      <c r="H61" s="785"/>
      <c r="I61" s="744"/>
      <c r="J61" s="744"/>
      <c r="K61" s="696" t="s">
        <v>356</v>
      </c>
      <c r="L61" s="697"/>
      <c r="M61" s="698"/>
      <c r="N61" s="785"/>
      <c r="O61" s="744"/>
      <c r="P61" s="744"/>
    </row>
    <row r="62" spans="1:21" s="18" customFormat="1" ht="24" customHeight="1" x14ac:dyDescent="0.2">
      <c r="A62" s="771"/>
      <c r="B62" s="828"/>
      <c r="C62" s="828"/>
      <c r="D62" s="828"/>
      <c r="E62" s="828"/>
      <c r="F62" s="773"/>
      <c r="G62" s="771"/>
      <c r="H62" s="785"/>
      <c r="I62" s="744"/>
      <c r="J62" s="744"/>
      <c r="K62" s="696" t="s">
        <v>500</v>
      </c>
      <c r="L62" s="697"/>
      <c r="M62" s="698"/>
      <c r="N62" s="785"/>
      <c r="O62" s="744"/>
      <c r="P62" s="744"/>
    </row>
    <row r="63" spans="1:21" s="18" customFormat="1" ht="25.5" customHeight="1" x14ac:dyDescent="0.2">
      <c r="A63" s="771"/>
      <c r="B63" s="828"/>
      <c r="C63" s="828"/>
      <c r="D63" s="828"/>
      <c r="E63" s="828"/>
      <c r="F63" s="773"/>
      <c r="G63" s="771"/>
      <c r="H63" s="785"/>
      <c r="I63" s="744"/>
      <c r="J63" s="744"/>
      <c r="K63" s="696" t="s">
        <v>147</v>
      </c>
      <c r="L63" s="697"/>
      <c r="M63" s="698"/>
      <c r="N63" s="785"/>
      <c r="O63" s="744"/>
      <c r="P63" s="744"/>
    </row>
    <row r="64" spans="1:21" s="18" customFormat="1" ht="24.75" customHeight="1" x14ac:dyDescent="0.2">
      <c r="A64" s="771"/>
      <c r="B64" s="828"/>
      <c r="C64" s="828"/>
      <c r="D64" s="828"/>
      <c r="E64" s="828"/>
      <c r="F64" s="773"/>
      <c r="G64" s="771"/>
      <c r="H64" s="785"/>
      <c r="I64" s="744"/>
      <c r="J64" s="744"/>
      <c r="K64" s="696" t="s">
        <v>83</v>
      </c>
      <c r="L64" s="697"/>
      <c r="M64" s="698"/>
      <c r="N64" s="785"/>
      <c r="O64" s="744"/>
      <c r="P64" s="744"/>
    </row>
    <row r="65" spans="1:16" s="18" customFormat="1" ht="23.25" customHeight="1" x14ac:dyDescent="0.2">
      <c r="A65" s="772"/>
      <c r="B65" s="829"/>
      <c r="C65" s="829"/>
      <c r="D65" s="829"/>
      <c r="E65" s="829"/>
      <c r="F65" s="774"/>
      <c r="G65" s="772"/>
      <c r="H65" s="786"/>
      <c r="I65" s="745"/>
      <c r="J65" s="745"/>
      <c r="K65" s="824" t="s">
        <v>68</v>
      </c>
      <c r="L65" s="825"/>
      <c r="M65" s="826"/>
      <c r="N65" s="786"/>
      <c r="O65" s="745"/>
      <c r="P65" s="745"/>
    </row>
    <row r="66" spans="1:16" s="18" customFormat="1" ht="13.5" customHeight="1" x14ac:dyDescent="0.2">
      <c r="A66" s="140"/>
      <c r="B66" s="202"/>
      <c r="C66" s="203"/>
      <c r="D66" s="203"/>
      <c r="E66" s="204"/>
      <c r="F66" s="31"/>
      <c r="G66" s="140"/>
      <c r="H66" s="22"/>
      <c r="I66" s="120" t="s">
        <v>59</v>
      </c>
      <c r="J66" s="369">
        <f>SUM(J57:J65)</f>
        <v>10723.56</v>
      </c>
      <c r="K66" s="441"/>
      <c r="L66" s="492"/>
      <c r="M66" s="493"/>
      <c r="N66" s="17"/>
      <c r="O66" s="364"/>
      <c r="P66" s="364"/>
    </row>
    <row r="67" spans="1:16" s="18" customFormat="1" ht="15" customHeight="1" x14ac:dyDescent="0.2">
      <c r="A67" s="383"/>
      <c r="B67" s="119" t="s">
        <v>352</v>
      </c>
      <c r="C67" s="6"/>
      <c r="D67" s="6"/>
      <c r="E67" s="214"/>
      <c r="F67" s="68"/>
      <c r="G67" s="69"/>
      <c r="H67" s="85"/>
      <c r="I67" s="215"/>
      <c r="J67" s="368"/>
      <c r="K67" s="494"/>
      <c r="L67" s="495"/>
      <c r="M67" s="79"/>
      <c r="N67" s="19"/>
      <c r="O67" s="19"/>
      <c r="P67" s="19"/>
    </row>
    <row r="68" spans="1:16" s="18" customFormat="1" ht="12.6" customHeight="1" x14ac:dyDescent="0.2">
      <c r="A68" s="726" t="s">
        <v>177</v>
      </c>
      <c r="B68" s="746" t="s">
        <v>354</v>
      </c>
      <c r="C68" s="747"/>
      <c r="D68" s="747"/>
      <c r="E68" s="748"/>
      <c r="F68" s="735" t="s">
        <v>174</v>
      </c>
      <c r="G68" s="726" t="s">
        <v>5</v>
      </c>
      <c r="H68" s="738">
        <v>1</v>
      </c>
      <c r="I68" s="722">
        <f>ROUND(10000*1*1.06*1*(1+1*0.25)*20%*0.5*1*$G$13,2)</f>
        <v>1588.68</v>
      </c>
      <c r="J68" s="722">
        <f>H68*I68</f>
        <v>1588.68</v>
      </c>
      <c r="K68" s="696" t="s">
        <v>69</v>
      </c>
      <c r="L68" s="697"/>
      <c r="M68" s="698"/>
      <c r="N68" s="738">
        <v>1</v>
      </c>
      <c r="O68" s="722">
        <f>ROUND(10000*1*1.06*1*(1+1*0.25)*100%*0.5*1*$G$13,2)</f>
        <v>7943.38</v>
      </c>
      <c r="P68" s="722">
        <f>N68*O68</f>
        <v>7943.38</v>
      </c>
    </row>
    <row r="69" spans="1:16" s="18" customFormat="1" ht="12.6" customHeight="1" x14ac:dyDescent="0.2">
      <c r="A69" s="771"/>
      <c r="B69" s="749"/>
      <c r="C69" s="750"/>
      <c r="D69" s="750"/>
      <c r="E69" s="751"/>
      <c r="F69" s="773"/>
      <c r="G69" s="771"/>
      <c r="H69" s="785"/>
      <c r="I69" s="744"/>
      <c r="J69" s="744"/>
      <c r="K69" s="696" t="s">
        <v>146</v>
      </c>
      <c r="L69" s="697"/>
      <c r="M69" s="698"/>
      <c r="N69" s="785"/>
      <c r="O69" s="744"/>
      <c r="P69" s="744"/>
    </row>
    <row r="70" spans="1:16" s="18" customFormat="1" ht="12.6" customHeight="1" x14ac:dyDescent="0.2">
      <c r="A70" s="771"/>
      <c r="B70" s="749"/>
      <c r="C70" s="750"/>
      <c r="D70" s="750"/>
      <c r="E70" s="751"/>
      <c r="F70" s="773"/>
      <c r="G70" s="771"/>
      <c r="H70" s="785"/>
      <c r="I70" s="744"/>
      <c r="J70" s="744"/>
      <c r="K70" s="696" t="s">
        <v>465</v>
      </c>
      <c r="L70" s="697"/>
      <c r="M70" s="698"/>
      <c r="N70" s="785"/>
      <c r="O70" s="744"/>
      <c r="P70" s="744"/>
    </row>
    <row r="71" spans="1:16" s="18" customFormat="1" ht="25.5" customHeight="1" x14ac:dyDescent="0.2">
      <c r="A71" s="771"/>
      <c r="B71" s="749"/>
      <c r="C71" s="750"/>
      <c r="D71" s="750"/>
      <c r="E71" s="751"/>
      <c r="F71" s="773"/>
      <c r="G71" s="771"/>
      <c r="H71" s="785"/>
      <c r="I71" s="744"/>
      <c r="J71" s="744"/>
      <c r="K71" s="696" t="s">
        <v>115</v>
      </c>
      <c r="L71" s="697"/>
      <c r="M71" s="698"/>
      <c r="N71" s="785"/>
      <c r="O71" s="744"/>
      <c r="P71" s="744"/>
    </row>
    <row r="72" spans="1:16" s="18" customFormat="1" ht="12.6" customHeight="1" x14ac:dyDescent="0.2">
      <c r="A72" s="771"/>
      <c r="B72" s="749"/>
      <c r="C72" s="750"/>
      <c r="D72" s="750"/>
      <c r="E72" s="751"/>
      <c r="F72" s="773"/>
      <c r="G72" s="771"/>
      <c r="H72" s="785"/>
      <c r="I72" s="744"/>
      <c r="J72" s="744"/>
      <c r="K72" s="696" t="s">
        <v>356</v>
      </c>
      <c r="L72" s="697"/>
      <c r="M72" s="698"/>
      <c r="N72" s="785"/>
      <c r="O72" s="744"/>
      <c r="P72" s="744"/>
    </row>
    <row r="73" spans="1:16" s="18" customFormat="1" ht="24" customHeight="1" x14ac:dyDescent="0.2">
      <c r="A73" s="771"/>
      <c r="B73" s="749"/>
      <c r="C73" s="750"/>
      <c r="D73" s="750"/>
      <c r="E73" s="751"/>
      <c r="F73" s="773"/>
      <c r="G73" s="771"/>
      <c r="H73" s="785"/>
      <c r="I73" s="744"/>
      <c r="J73" s="744"/>
      <c r="K73" s="696" t="s">
        <v>500</v>
      </c>
      <c r="L73" s="697"/>
      <c r="M73" s="698"/>
      <c r="N73" s="785"/>
      <c r="O73" s="744"/>
      <c r="P73" s="744"/>
    </row>
    <row r="74" spans="1:16" s="18" customFormat="1" ht="41.25" customHeight="1" x14ac:dyDescent="0.2">
      <c r="A74" s="771"/>
      <c r="B74" s="749"/>
      <c r="C74" s="750"/>
      <c r="D74" s="750"/>
      <c r="E74" s="751"/>
      <c r="F74" s="773"/>
      <c r="G74" s="771"/>
      <c r="H74" s="785"/>
      <c r="I74" s="744"/>
      <c r="J74" s="744"/>
      <c r="K74" s="696" t="s">
        <v>503</v>
      </c>
      <c r="L74" s="697"/>
      <c r="M74" s="698"/>
      <c r="N74" s="785"/>
      <c r="O74" s="744"/>
      <c r="P74" s="744"/>
    </row>
    <row r="75" spans="1:16" s="18" customFormat="1" ht="24" customHeight="1" x14ac:dyDescent="0.2">
      <c r="A75" s="771"/>
      <c r="B75" s="749"/>
      <c r="C75" s="750"/>
      <c r="D75" s="750"/>
      <c r="E75" s="751"/>
      <c r="F75" s="773"/>
      <c r="G75" s="771"/>
      <c r="H75" s="785"/>
      <c r="I75" s="744"/>
      <c r="J75" s="744"/>
      <c r="K75" s="696" t="s">
        <v>83</v>
      </c>
      <c r="L75" s="697"/>
      <c r="M75" s="698"/>
      <c r="N75" s="785"/>
      <c r="O75" s="744"/>
      <c r="P75" s="744"/>
    </row>
    <row r="76" spans="1:16" s="18" customFormat="1" ht="24.75" customHeight="1" x14ac:dyDescent="0.2">
      <c r="A76" s="772"/>
      <c r="B76" s="752"/>
      <c r="C76" s="753"/>
      <c r="D76" s="753"/>
      <c r="E76" s="754"/>
      <c r="F76" s="774"/>
      <c r="G76" s="772"/>
      <c r="H76" s="786"/>
      <c r="I76" s="745"/>
      <c r="J76" s="745"/>
      <c r="K76" s="824" t="s">
        <v>68</v>
      </c>
      <c r="L76" s="825"/>
      <c r="M76" s="826"/>
      <c r="N76" s="786"/>
      <c r="O76" s="745"/>
      <c r="P76" s="745"/>
    </row>
    <row r="77" spans="1:16" s="18" customFormat="1" ht="12.6" customHeight="1" x14ac:dyDescent="0.2">
      <c r="A77" s="140"/>
      <c r="B77" s="202"/>
      <c r="C77" s="203"/>
      <c r="D77" s="203"/>
      <c r="E77" s="204"/>
      <c r="F77" s="31"/>
      <c r="G77" s="140"/>
      <c r="H77" s="22"/>
      <c r="I77" s="120" t="s">
        <v>59</v>
      </c>
      <c r="J77" s="369">
        <f>SUM(J68:J76)</f>
        <v>1588.68</v>
      </c>
      <c r="K77" s="411"/>
      <c r="L77" s="411"/>
      <c r="M77" s="411"/>
      <c r="N77" s="17"/>
      <c r="O77" s="19"/>
      <c r="P77" s="19"/>
    </row>
    <row r="78" spans="1:16" s="18" customFormat="1" ht="13.5" customHeight="1" x14ac:dyDescent="0.2">
      <c r="A78" s="799" t="s">
        <v>501</v>
      </c>
      <c r="B78" s="800"/>
      <c r="C78" s="800"/>
      <c r="D78" s="800"/>
      <c r="E78" s="800"/>
      <c r="F78" s="800"/>
      <c r="G78" s="800"/>
      <c r="H78" s="800"/>
      <c r="I78" s="801"/>
      <c r="J78" s="462">
        <f>SUM(J66:J77)</f>
        <v>13900.92</v>
      </c>
      <c r="K78" s="437"/>
      <c r="L78" s="486"/>
      <c r="M78" s="438"/>
      <c r="N78" s="19"/>
      <c r="O78" s="434"/>
      <c r="P78" s="434"/>
    </row>
    <row r="79" spans="1:16" s="18" customFormat="1" ht="22.5" customHeight="1" x14ac:dyDescent="0.2">
      <c r="A79" s="790" t="s">
        <v>502</v>
      </c>
      <c r="B79" s="791"/>
      <c r="C79" s="791"/>
      <c r="D79" s="791"/>
      <c r="E79" s="791"/>
      <c r="F79" s="791"/>
      <c r="G79" s="791"/>
      <c r="H79" s="791"/>
      <c r="I79" s="792"/>
      <c r="J79" s="462">
        <f>P57+P68</f>
        <v>23830.14</v>
      </c>
      <c r="K79" s="440"/>
      <c r="L79" s="491"/>
      <c r="M79" s="138"/>
      <c r="N79" s="19"/>
      <c r="O79" s="434"/>
      <c r="P79" s="434"/>
    </row>
    <row r="80" spans="1:16" s="18" customFormat="1" ht="15" customHeight="1" x14ac:dyDescent="0.2">
      <c r="A80" s="429"/>
      <c r="B80" s="192" t="s">
        <v>124</v>
      </c>
      <c r="C80" s="48"/>
      <c r="D80" s="48"/>
      <c r="E80" s="29"/>
      <c r="F80" s="13"/>
      <c r="G80" s="429"/>
      <c r="H80" s="430"/>
      <c r="I80" s="11"/>
      <c r="J80" s="11"/>
      <c r="K80" s="11"/>
      <c r="L80" s="11"/>
      <c r="M80" s="11"/>
      <c r="N80" s="19"/>
      <c r="O80" s="19"/>
      <c r="P80" s="19"/>
    </row>
    <row r="81" spans="1:16" s="18" customFormat="1" ht="15" customHeight="1" x14ac:dyDescent="0.2">
      <c r="A81" s="429"/>
      <c r="B81" s="45" t="s">
        <v>163</v>
      </c>
      <c r="C81" s="48"/>
      <c r="D81" s="48"/>
      <c r="E81" s="29"/>
      <c r="F81" s="13"/>
      <c r="G81" s="429"/>
      <c r="H81" s="430"/>
      <c r="I81" s="11"/>
      <c r="J81" s="11"/>
      <c r="K81" s="11"/>
      <c r="L81" s="11"/>
      <c r="M81" s="11"/>
      <c r="N81" s="19"/>
      <c r="O81" s="19"/>
      <c r="P81" s="19"/>
    </row>
    <row r="82" spans="1:16" s="18" customFormat="1" ht="12.6" customHeight="1" x14ac:dyDescent="0.2">
      <c r="A82" s="726" t="s">
        <v>178</v>
      </c>
      <c r="B82" s="837" t="s">
        <v>17</v>
      </c>
      <c r="C82" s="838"/>
      <c r="D82" s="838"/>
      <c r="E82" s="839"/>
      <c r="F82" s="840" t="s">
        <v>16</v>
      </c>
      <c r="G82" s="807" t="s">
        <v>10</v>
      </c>
      <c r="H82" s="831">
        <v>3.9</v>
      </c>
      <c r="I82" s="830">
        <f>ROUND(1800*1*1*1*100%*1*1*$G$13,2)</f>
        <v>2158.1999999999998</v>
      </c>
      <c r="J82" s="830">
        <f>H82*I82</f>
        <v>8416.98</v>
      </c>
      <c r="K82" s="696" t="s">
        <v>101</v>
      </c>
      <c r="L82" s="697"/>
      <c r="M82" s="698"/>
      <c r="N82" s="831">
        <v>3.9</v>
      </c>
      <c r="O82" s="830">
        <f>ROUND(1800*1*1*1*100%*1*1*$G$13,2)</f>
        <v>2158.1999999999998</v>
      </c>
      <c r="P82" s="830">
        <f>N82*O82</f>
        <v>8416.98</v>
      </c>
    </row>
    <row r="83" spans="1:16" s="18" customFormat="1" ht="12" customHeight="1" x14ac:dyDescent="0.2">
      <c r="A83" s="727"/>
      <c r="B83" s="764"/>
      <c r="C83" s="778"/>
      <c r="D83" s="778"/>
      <c r="E83" s="693"/>
      <c r="F83" s="736"/>
      <c r="G83" s="727"/>
      <c r="H83" s="742"/>
      <c r="I83" s="725"/>
      <c r="J83" s="725"/>
      <c r="K83" s="696" t="s">
        <v>148</v>
      </c>
      <c r="L83" s="697"/>
      <c r="M83" s="698"/>
      <c r="N83" s="742"/>
      <c r="O83" s="725"/>
      <c r="P83" s="725"/>
    </row>
    <row r="84" spans="1:16" s="18" customFormat="1" ht="28.5" customHeight="1" x14ac:dyDescent="0.2">
      <c r="A84" s="727"/>
      <c r="B84" s="764"/>
      <c r="C84" s="778"/>
      <c r="D84" s="778"/>
      <c r="E84" s="693"/>
      <c r="F84" s="736"/>
      <c r="G84" s="727"/>
      <c r="H84" s="742"/>
      <c r="I84" s="725"/>
      <c r="J84" s="725"/>
      <c r="K84" s="696" t="s">
        <v>115</v>
      </c>
      <c r="L84" s="697"/>
      <c r="M84" s="698"/>
      <c r="N84" s="742"/>
      <c r="O84" s="725"/>
      <c r="P84" s="725"/>
    </row>
    <row r="85" spans="1:16" s="18" customFormat="1" ht="33.6" customHeight="1" x14ac:dyDescent="0.2">
      <c r="A85" s="727"/>
      <c r="B85" s="764"/>
      <c r="C85" s="778"/>
      <c r="D85" s="778"/>
      <c r="E85" s="693"/>
      <c r="F85" s="736"/>
      <c r="G85" s="727"/>
      <c r="H85" s="742"/>
      <c r="I85" s="725"/>
      <c r="J85" s="725"/>
      <c r="K85" s="696" t="s">
        <v>357</v>
      </c>
      <c r="L85" s="697"/>
      <c r="M85" s="698"/>
      <c r="N85" s="742"/>
      <c r="O85" s="725"/>
      <c r="P85" s="725"/>
    </row>
    <row r="86" spans="1:16" s="18" customFormat="1" ht="27" customHeight="1" x14ac:dyDescent="0.2">
      <c r="A86" s="727"/>
      <c r="B86" s="764"/>
      <c r="C86" s="778"/>
      <c r="D86" s="778"/>
      <c r="E86" s="693"/>
      <c r="F86" s="736"/>
      <c r="G86" s="727"/>
      <c r="H86" s="742"/>
      <c r="I86" s="725"/>
      <c r="J86" s="725"/>
      <c r="K86" s="696" t="s">
        <v>70</v>
      </c>
      <c r="L86" s="697"/>
      <c r="M86" s="698"/>
      <c r="N86" s="742"/>
      <c r="O86" s="725"/>
      <c r="P86" s="725"/>
    </row>
    <row r="87" spans="1:16" s="18" customFormat="1" ht="12.6" customHeight="1" x14ac:dyDescent="0.2">
      <c r="A87" s="728"/>
      <c r="B87" s="779"/>
      <c r="C87" s="780"/>
      <c r="D87" s="780"/>
      <c r="E87" s="781"/>
      <c r="F87" s="737"/>
      <c r="G87" s="728"/>
      <c r="H87" s="743"/>
      <c r="I87" s="724"/>
      <c r="J87" s="724"/>
      <c r="K87" s="824" t="s">
        <v>71</v>
      </c>
      <c r="L87" s="825"/>
      <c r="M87" s="826"/>
      <c r="N87" s="743"/>
      <c r="O87" s="724"/>
      <c r="P87" s="724"/>
    </row>
    <row r="88" spans="1:16" s="18" customFormat="1" ht="12.6" customHeight="1" x14ac:dyDescent="0.2">
      <c r="A88" s="140"/>
      <c r="B88" s="216"/>
      <c r="C88" s="364"/>
      <c r="D88" s="364"/>
      <c r="E88" s="365"/>
      <c r="F88" s="380"/>
      <c r="G88" s="357"/>
      <c r="H88" s="357"/>
      <c r="I88" s="120" t="s">
        <v>59</v>
      </c>
      <c r="J88" s="369">
        <f>SUM(J82:J87)</f>
        <v>8416.98</v>
      </c>
      <c r="K88" s="411"/>
      <c r="L88" s="411"/>
      <c r="M88" s="411"/>
      <c r="N88" s="17"/>
      <c r="O88" s="19"/>
      <c r="P88" s="19"/>
    </row>
    <row r="89" spans="1:16" s="18" customFormat="1" ht="15" customHeight="1" x14ac:dyDescent="0.2">
      <c r="A89" s="361"/>
      <c r="B89" s="61" t="s">
        <v>86</v>
      </c>
      <c r="C89" s="54"/>
      <c r="D89" s="54"/>
      <c r="E89" s="32"/>
      <c r="F89" s="381"/>
      <c r="G89" s="361"/>
      <c r="H89" s="358"/>
      <c r="I89" s="367"/>
      <c r="J89" s="367"/>
      <c r="K89" s="367"/>
      <c r="L89" s="367"/>
      <c r="M89" s="367"/>
      <c r="N89" s="19"/>
      <c r="O89" s="19"/>
      <c r="P89" s="19"/>
    </row>
    <row r="90" spans="1:16" s="18" customFormat="1" ht="12.6" customHeight="1" x14ac:dyDescent="0.2">
      <c r="A90" s="726" t="s">
        <v>179</v>
      </c>
      <c r="B90" s="729" t="s">
        <v>18</v>
      </c>
      <c r="C90" s="689"/>
      <c r="D90" s="689"/>
      <c r="E90" s="690"/>
      <c r="F90" s="735" t="s">
        <v>16</v>
      </c>
      <c r="G90" s="726" t="s">
        <v>10</v>
      </c>
      <c r="H90" s="741">
        <v>1</v>
      </c>
      <c r="I90" s="722">
        <f>ROUND(2700*1*1*1*100%*1*1*$G$13,2)</f>
        <v>3237.3</v>
      </c>
      <c r="J90" s="722">
        <f>H90*I90</f>
        <v>3237.3</v>
      </c>
      <c r="K90" s="684" t="s">
        <v>100</v>
      </c>
      <c r="L90" s="694"/>
      <c r="M90" s="695"/>
      <c r="N90" s="741">
        <v>1</v>
      </c>
      <c r="O90" s="722">
        <f>ROUND(2700*1*1*1*100%*1*1*$G$13,2)</f>
        <v>3237.3</v>
      </c>
      <c r="P90" s="722">
        <f>N90*O90</f>
        <v>3237.3</v>
      </c>
    </row>
    <row r="91" spans="1:16" s="18" customFormat="1" ht="12.6" customHeight="1" x14ac:dyDescent="0.2">
      <c r="A91" s="727"/>
      <c r="B91" s="732"/>
      <c r="C91" s="733"/>
      <c r="D91" s="733"/>
      <c r="E91" s="707"/>
      <c r="F91" s="773"/>
      <c r="G91" s="771"/>
      <c r="H91" s="771"/>
      <c r="I91" s="744"/>
      <c r="J91" s="744"/>
      <c r="K91" s="696" t="s">
        <v>418</v>
      </c>
      <c r="L91" s="697"/>
      <c r="M91" s="698"/>
      <c r="N91" s="771"/>
      <c r="O91" s="744"/>
      <c r="P91" s="744"/>
    </row>
    <row r="92" spans="1:16" s="18" customFormat="1" ht="27.75" customHeight="1" x14ac:dyDescent="0.2">
      <c r="A92" s="727"/>
      <c r="B92" s="732"/>
      <c r="C92" s="733"/>
      <c r="D92" s="733"/>
      <c r="E92" s="707"/>
      <c r="F92" s="773"/>
      <c r="G92" s="771"/>
      <c r="H92" s="771"/>
      <c r="I92" s="744"/>
      <c r="J92" s="744"/>
      <c r="K92" s="696" t="s">
        <v>115</v>
      </c>
      <c r="L92" s="697"/>
      <c r="M92" s="698"/>
      <c r="N92" s="771"/>
      <c r="O92" s="744"/>
      <c r="P92" s="744"/>
    </row>
    <row r="93" spans="1:16" s="18" customFormat="1" ht="15" customHeight="1" x14ac:dyDescent="0.2">
      <c r="A93" s="727"/>
      <c r="B93" s="732"/>
      <c r="C93" s="733"/>
      <c r="D93" s="733"/>
      <c r="E93" s="707"/>
      <c r="F93" s="773"/>
      <c r="G93" s="771"/>
      <c r="H93" s="771"/>
      <c r="I93" s="744"/>
      <c r="J93" s="744"/>
      <c r="K93" s="696" t="s">
        <v>504</v>
      </c>
      <c r="L93" s="697"/>
      <c r="M93" s="698"/>
      <c r="N93" s="771"/>
      <c r="O93" s="744"/>
      <c r="P93" s="744"/>
    </row>
    <row r="94" spans="1:16" s="18" customFormat="1" ht="23.45" customHeight="1" x14ac:dyDescent="0.2">
      <c r="A94" s="727"/>
      <c r="B94" s="732"/>
      <c r="C94" s="733"/>
      <c r="D94" s="733"/>
      <c r="E94" s="707"/>
      <c r="F94" s="773"/>
      <c r="G94" s="771"/>
      <c r="H94" s="771"/>
      <c r="I94" s="744"/>
      <c r="J94" s="744"/>
      <c r="K94" s="696" t="s">
        <v>70</v>
      </c>
      <c r="L94" s="697"/>
      <c r="M94" s="698"/>
      <c r="N94" s="771"/>
      <c r="O94" s="744"/>
      <c r="P94" s="744"/>
    </row>
    <row r="95" spans="1:16" s="18" customFormat="1" ht="12.6" customHeight="1" x14ac:dyDescent="0.2">
      <c r="A95" s="728"/>
      <c r="B95" s="734"/>
      <c r="C95" s="703"/>
      <c r="D95" s="703"/>
      <c r="E95" s="704"/>
      <c r="F95" s="774"/>
      <c r="G95" s="772"/>
      <c r="H95" s="772"/>
      <c r="I95" s="745"/>
      <c r="J95" s="745"/>
      <c r="K95" s="824" t="s">
        <v>71</v>
      </c>
      <c r="L95" s="825"/>
      <c r="M95" s="826"/>
      <c r="N95" s="772"/>
      <c r="O95" s="745"/>
      <c r="P95" s="745"/>
    </row>
    <row r="96" spans="1:16" s="18" customFormat="1" ht="15" customHeight="1" x14ac:dyDescent="0.2">
      <c r="A96" s="435"/>
      <c r="B96" s="775"/>
      <c r="C96" s="776"/>
      <c r="D96" s="776"/>
      <c r="E96" s="776"/>
      <c r="F96" s="777"/>
      <c r="G96" s="443"/>
      <c r="H96" s="442"/>
      <c r="I96" s="71" t="s">
        <v>59</v>
      </c>
      <c r="J96" s="392">
        <f>SUM(J90)</f>
        <v>3237.3</v>
      </c>
      <c r="K96" s="24"/>
      <c r="L96" s="24"/>
      <c r="M96" s="24"/>
      <c r="N96" s="19"/>
      <c r="O96" s="19"/>
      <c r="P96" s="19"/>
    </row>
    <row r="97" spans="1:16" s="18" customFormat="1" ht="23.25" customHeight="1" x14ac:dyDescent="0.2">
      <c r="A97" s="799" t="s">
        <v>506</v>
      </c>
      <c r="B97" s="832"/>
      <c r="C97" s="832"/>
      <c r="D97" s="832"/>
      <c r="E97" s="832"/>
      <c r="F97" s="832"/>
      <c r="G97" s="832"/>
      <c r="H97" s="832"/>
      <c r="I97" s="833"/>
      <c r="J97" s="462">
        <f>J88+J96</f>
        <v>11654.279999999999</v>
      </c>
      <c r="K97" s="368"/>
      <c r="L97" s="368"/>
      <c r="M97" s="368"/>
      <c r="N97" s="19"/>
      <c r="O97" s="19"/>
      <c r="P97" s="19"/>
    </row>
    <row r="98" spans="1:16" s="18" customFormat="1" ht="25.5" customHeight="1" x14ac:dyDescent="0.2">
      <c r="A98" s="834" t="s">
        <v>505</v>
      </c>
      <c r="B98" s="835"/>
      <c r="C98" s="835"/>
      <c r="D98" s="835"/>
      <c r="E98" s="835"/>
      <c r="F98" s="835"/>
      <c r="G98" s="835"/>
      <c r="H98" s="835"/>
      <c r="I98" s="836"/>
      <c r="J98" s="460">
        <f>P82+P90</f>
        <v>11654.279999999999</v>
      </c>
      <c r="K98" s="461"/>
      <c r="L98" s="461"/>
      <c r="M98" s="461"/>
      <c r="N98" s="19">
        <f>J98</f>
        <v>11654.279999999999</v>
      </c>
      <c r="P98" s="19"/>
    </row>
    <row r="99" spans="1:16" s="18" customFormat="1" ht="25.5" customHeight="1" x14ac:dyDescent="0.2">
      <c r="A99" s="341"/>
      <c r="B99" s="528"/>
      <c r="C99" s="529"/>
      <c r="D99" s="529"/>
      <c r="E99" s="529"/>
      <c r="F99" s="529"/>
      <c r="G99" s="529"/>
      <c r="H99" s="529"/>
      <c r="I99" s="529"/>
      <c r="J99" s="127"/>
      <c r="K99" s="127"/>
      <c r="L99" s="127"/>
      <c r="M99" s="84"/>
      <c r="N99" s="19"/>
      <c r="P99" s="19"/>
    </row>
    <row r="100" spans="1:16" s="444" customFormat="1" ht="13.5" x14ac:dyDescent="0.25">
      <c r="A100" s="514"/>
      <c r="B100" s="524" t="s">
        <v>493</v>
      </c>
      <c r="C100" s="525"/>
      <c r="D100" s="525"/>
      <c r="E100" s="525"/>
      <c r="F100" s="526"/>
      <c r="G100" s="527"/>
      <c r="H100" s="512"/>
      <c r="I100" s="513"/>
      <c r="J100" s="530">
        <f>J41+J54+J79+J98</f>
        <v>94043.579999999987</v>
      </c>
      <c r="K100" s="447"/>
      <c r="L100" s="447"/>
      <c r="M100" s="447"/>
    </row>
    <row r="101" spans="1:16" s="444" customFormat="1" x14ac:dyDescent="0.2">
      <c r="A101" s="516"/>
      <c r="B101" s="517"/>
      <c r="C101" s="518"/>
      <c r="D101" s="518"/>
      <c r="E101" s="519"/>
      <c r="F101" s="520"/>
      <c r="G101" s="521"/>
      <c r="H101" s="522"/>
      <c r="I101" s="522"/>
      <c r="J101" s="523"/>
      <c r="K101" s="447"/>
      <c r="L101" s="447"/>
      <c r="M101" s="447"/>
    </row>
    <row r="102" spans="1:16" s="444" customFormat="1" ht="13.5" x14ac:dyDescent="0.25">
      <c r="A102" s="515"/>
      <c r="B102" s="509" t="s">
        <v>495</v>
      </c>
      <c r="C102" s="510"/>
      <c r="D102" s="510"/>
      <c r="E102" s="510"/>
      <c r="F102" s="511"/>
      <c r="G102" s="481"/>
      <c r="H102" s="522"/>
      <c r="I102" s="531"/>
      <c r="J102" s="532">
        <f>J40+J53+J78+J97</f>
        <v>73879.099000000002</v>
      </c>
      <c r="K102" s="447"/>
      <c r="L102" s="447"/>
      <c r="M102" s="447"/>
    </row>
    <row r="103" spans="1:16" ht="13.5" x14ac:dyDescent="0.2">
      <c r="B103" s="766"/>
      <c r="C103" s="766"/>
      <c r="D103" s="767"/>
      <c r="E103" s="768"/>
      <c r="F103" s="26"/>
      <c r="G103" s="374"/>
      <c r="H103" s="682"/>
      <c r="I103" s="682"/>
      <c r="J103" s="682"/>
      <c r="K103" s="682"/>
      <c r="L103" s="225"/>
      <c r="M103" s="374"/>
      <c r="N103" s="356"/>
    </row>
    <row r="104" spans="1:16" ht="13.5" x14ac:dyDescent="0.2">
      <c r="B104" s="659"/>
      <c r="C104" s="659"/>
      <c r="D104" s="659"/>
      <c r="E104" s="659"/>
      <c r="F104" s="26"/>
      <c r="G104" s="374"/>
      <c r="H104" s="374"/>
      <c r="I104" s="374"/>
      <c r="J104" s="374"/>
      <c r="K104" s="374"/>
      <c r="L104" s="225"/>
      <c r="M104" s="374"/>
      <c r="N104" s="356"/>
    </row>
    <row r="105" spans="1:16" x14ac:dyDescent="0.2">
      <c r="B105" s="371"/>
      <c r="C105" s="371"/>
      <c r="D105" s="371"/>
      <c r="F105" s="26"/>
      <c r="G105" s="26"/>
      <c r="H105" s="356"/>
      <c r="I105" s="659"/>
      <c r="J105" s="659"/>
      <c r="K105" s="356"/>
      <c r="L105" s="239"/>
      <c r="M105" s="5"/>
      <c r="N105" s="356"/>
    </row>
    <row r="106" spans="1:16" x14ac:dyDescent="0.2">
      <c r="B106" s="371"/>
      <c r="C106" s="371"/>
      <c r="D106" s="371"/>
      <c r="F106" s="26"/>
      <c r="G106" s="26"/>
      <c r="H106" s="356"/>
      <c r="I106" s="659"/>
      <c r="J106" s="659"/>
      <c r="K106" s="770"/>
      <c r="L106" s="239"/>
      <c r="M106" s="5"/>
      <c r="N106" s="239"/>
    </row>
    <row r="107" spans="1:16" x14ac:dyDescent="0.2">
      <c r="B107" s="659"/>
      <c r="C107" s="659"/>
      <c r="D107" s="769"/>
      <c r="E107" s="769"/>
      <c r="F107" s="26"/>
      <c r="G107" s="26"/>
      <c r="H107" s="371"/>
      <c r="I107" s="371"/>
      <c r="J107" s="371"/>
      <c r="K107" s="371"/>
      <c r="L107" s="239"/>
      <c r="M107" s="2"/>
      <c r="N107" s="356"/>
    </row>
    <row r="108" spans="1:16" x14ac:dyDescent="0.2">
      <c r="B108" s="356"/>
      <c r="C108" s="356"/>
      <c r="D108" s="370"/>
      <c r="E108" s="370"/>
      <c r="F108" s="26"/>
      <c r="G108" s="26"/>
      <c r="H108" s="371"/>
      <c r="I108" s="371"/>
      <c r="J108" s="371"/>
      <c r="K108" s="371"/>
      <c r="L108" s="239"/>
      <c r="M108" s="2"/>
      <c r="N108" s="356"/>
    </row>
    <row r="109" spans="1:16" x14ac:dyDescent="0.2">
      <c r="B109" s="356"/>
      <c r="C109" s="356"/>
      <c r="D109" s="371"/>
      <c r="E109" s="371"/>
      <c r="F109" s="356"/>
      <c r="G109" s="26"/>
      <c r="H109" s="356"/>
      <c r="I109" s="659"/>
      <c r="J109" s="659"/>
      <c r="K109" s="659"/>
      <c r="L109" s="239"/>
      <c r="M109" s="2"/>
      <c r="N109" s="356"/>
    </row>
    <row r="110" spans="1:16" x14ac:dyDescent="0.2">
      <c r="A110" s="43"/>
      <c r="B110" s="43"/>
      <c r="C110" s="43"/>
      <c r="D110" s="43"/>
      <c r="E110" s="43"/>
      <c r="F110" s="43"/>
      <c r="G110" s="26"/>
      <c r="H110" s="356"/>
      <c r="I110" s="356"/>
      <c r="J110" s="356"/>
      <c r="K110" s="356"/>
      <c r="L110" s="239"/>
      <c r="M110" s="2"/>
      <c r="N110" s="402"/>
    </row>
    <row r="111" spans="1:16" x14ac:dyDescent="0.2">
      <c r="C111" s="356"/>
      <c r="D111" s="356"/>
      <c r="E111" s="356"/>
      <c r="F111" s="362"/>
      <c r="G111" s="371"/>
      <c r="H111" s="371"/>
      <c r="I111" s="371"/>
      <c r="J111" s="371"/>
      <c r="K111" s="371"/>
      <c r="L111" s="371"/>
      <c r="M111" s="4"/>
    </row>
    <row r="112" spans="1:16" x14ac:dyDescent="0.2">
      <c r="B112" s="356"/>
      <c r="C112" s="356"/>
      <c r="D112" s="356"/>
      <c r="E112" s="356"/>
      <c r="F112" s="26"/>
      <c r="G112" s="43"/>
      <c r="H112" s="43"/>
      <c r="I112" s="43"/>
      <c r="J112" s="43"/>
      <c r="K112" s="43"/>
      <c r="L112" s="43"/>
      <c r="M112" s="43"/>
      <c r="N112" s="354"/>
    </row>
    <row r="113" spans="7:14" x14ac:dyDescent="0.2">
      <c r="G113" s="362"/>
      <c r="H113" s="362"/>
      <c r="I113" s="362"/>
      <c r="J113" s="362"/>
      <c r="K113" s="356"/>
      <c r="L113" s="356"/>
      <c r="M113" s="356"/>
      <c r="N113" s="354"/>
    </row>
    <row r="114" spans="7:14" x14ac:dyDescent="0.2">
      <c r="G114" s="356"/>
      <c r="H114" s="356"/>
      <c r="I114" s="356"/>
      <c r="J114" s="356"/>
      <c r="K114" s="356"/>
      <c r="L114" s="371"/>
      <c r="M114" s="356"/>
    </row>
  </sheetData>
  <mergeCells count="141">
    <mergeCell ref="N82:N87"/>
    <mergeCell ref="O82:O87"/>
    <mergeCell ref="P82:P87"/>
    <mergeCell ref="N90:N95"/>
    <mergeCell ref="O90:O95"/>
    <mergeCell ref="P90:P95"/>
    <mergeCell ref="B96:F96"/>
    <mergeCell ref="B107:E107"/>
    <mergeCell ref="I109:K109"/>
    <mergeCell ref="B103:E103"/>
    <mergeCell ref="H103:I103"/>
    <mergeCell ref="J103:K103"/>
    <mergeCell ref="B104:E104"/>
    <mergeCell ref="I105:J105"/>
    <mergeCell ref="I106:K106"/>
    <mergeCell ref="A97:I97"/>
    <mergeCell ref="A98:I98"/>
    <mergeCell ref="A82:A87"/>
    <mergeCell ref="B82:E87"/>
    <mergeCell ref="F82:F87"/>
    <mergeCell ref="G82:G87"/>
    <mergeCell ref="H82:H87"/>
    <mergeCell ref="I82:I87"/>
    <mergeCell ref="J90:J95"/>
    <mergeCell ref="K90:M90"/>
    <mergeCell ref="K91:M91"/>
    <mergeCell ref="K92:M92"/>
    <mergeCell ref="K93:M93"/>
    <mergeCell ref="K94:M94"/>
    <mergeCell ref="K95:M95"/>
    <mergeCell ref="A90:A95"/>
    <mergeCell ref="B90:E95"/>
    <mergeCell ref="F90:F95"/>
    <mergeCell ref="G90:G95"/>
    <mergeCell ref="H90:H95"/>
    <mergeCell ref="I90:I95"/>
    <mergeCell ref="K69:M69"/>
    <mergeCell ref="K70:M70"/>
    <mergeCell ref="K71:M71"/>
    <mergeCell ref="K72:M72"/>
    <mergeCell ref="K73:M73"/>
    <mergeCell ref="K74:M74"/>
    <mergeCell ref="K75:M75"/>
    <mergeCell ref="K76:M76"/>
    <mergeCell ref="J82:J87"/>
    <mergeCell ref="K82:M82"/>
    <mergeCell ref="K83:M83"/>
    <mergeCell ref="K84:M84"/>
    <mergeCell ref="K85:M85"/>
    <mergeCell ref="K86:M86"/>
    <mergeCell ref="K87:M87"/>
    <mergeCell ref="A68:A76"/>
    <mergeCell ref="B68:E76"/>
    <mergeCell ref="F68:F76"/>
    <mergeCell ref="G68:G76"/>
    <mergeCell ref="H68:H76"/>
    <mergeCell ref="I68:I76"/>
    <mergeCell ref="J57:J65"/>
    <mergeCell ref="K57:M57"/>
    <mergeCell ref="K58:M58"/>
    <mergeCell ref="K59:M59"/>
    <mergeCell ref="K60:M60"/>
    <mergeCell ref="K61:M61"/>
    <mergeCell ref="K62:M62"/>
    <mergeCell ref="K63:M63"/>
    <mergeCell ref="K64:M64"/>
    <mergeCell ref="K65:M65"/>
    <mergeCell ref="A57:A65"/>
    <mergeCell ref="B57:E65"/>
    <mergeCell ref="F57:F65"/>
    <mergeCell ref="G57:G65"/>
    <mergeCell ref="H57:H65"/>
    <mergeCell ref="I57:I65"/>
    <mergeCell ref="J68:J76"/>
    <mergeCell ref="K68:M68"/>
    <mergeCell ref="K49:M49"/>
    <mergeCell ref="K51:M51"/>
    <mergeCell ref="K52:M52"/>
    <mergeCell ref="A43:A52"/>
    <mergeCell ref="B43:E52"/>
    <mergeCell ref="F43:F52"/>
    <mergeCell ref="G43:G52"/>
    <mergeCell ref="H43:H52"/>
    <mergeCell ref="I43:I52"/>
    <mergeCell ref="A78:I78"/>
    <mergeCell ref="A79:I79"/>
    <mergeCell ref="J17:J26"/>
    <mergeCell ref="K20:M20"/>
    <mergeCell ref="K21:M21"/>
    <mergeCell ref="K22:M22"/>
    <mergeCell ref="K23:M23"/>
    <mergeCell ref="K25:M25"/>
    <mergeCell ref="A17:A26"/>
    <mergeCell ref="B17:E26"/>
    <mergeCell ref="F17:F26"/>
    <mergeCell ref="G17:G26"/>
    <mergeCell ref="H17:H26"/>
    <mergeCell ref="I17:I26"/>
    <mergeCell ref="J29:J38"/>
    <mergeCell ref="K32:M32"/>
    <mergeCell ref="K33:M33"/>
    <mergeCell ref="K34:M34"/>
    <mergeCell ref="K35:M35"/>
    <mergeCell ref="K37:M37"/>
    <mergeCell ref="A29:A38"/>
    <mergeCell ref="B29:E38"/>
    <mergeCell ref="F29:F38"/>
    <mergeCell ref="G29:G38"/>
    <mergeCell ref="A53:I53"/>
    <mergeCell ref="A54:I54"/>
    <mergeCell ref="N43:N52"/>
    <mergeCell ref="O43:O52"/>
    <mergeCell ref="P43:P52"/>
    <mergeCell ref="A7:M7"/>
    <mergeCell ref="A8:M8"/>
    <mergeCell ref="A10:E10"/>
    <mergeCell ref="F10:F12"/>
    <mergeCell ref="G10:I10"/>
    <mergeCell ref="J10:J12"/>
    <mergeCell ref="K10:M13"/>
    <mergeCell ref="A11:E11"/>
    <mergeCell ref="G11:G12"/>
    <mergeCell ref="I11:I12"/>
    <mergeCell ref="A40:I40"/>
    <mergeCell ref="A41:I41"/>
    <mergeCell ref="H29:H38"/>
    <mergeCell ref="I29:I38"/>
    <mergeCell ref="J43:J52"/>
    <mergeCell ref="K45:M45"/>
    <mergeCell ref="K46:M46"/>
    <mergeCell ref="K47:M47"/>
    <mergeCell ref="K48:M48"/>
    <mergeCell ref="N57:N65"/>
    <mergeCell ref="O57:O65"/>
    <mergeCell ref="P57:P65"/>
    <mergeCell ref="N68:N76"/>
    <mergeCell ref="O68:O76"/>
    <mergeCell ref="P68:P76"/>
    <mergeCell ref="N29:N38"/>
    <mergeCell ref="O29:O38"/>
    <mergeCell ref="P29:P38"/>
  </mergeCells>
  <pageMargins left="0.7" right="0.7" top="0.75" bottom="0.75" header="0.3" footer="0.3"/>
  <pageSetup orientation="portrait" r:id="rId1"/>
  <rowBreaks count="2" manualBreakCount="2">
    <brk id="41" max="12" man="1"/>
    <brk id="7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view="pageBreakPreview" zoomScaleNormal="100" zoomScaleSheetLayoutView="100" workbookViewId="0">
      <selection activeCell="K20" sqref="K20:M20"/>
    </sheetView>
  </sheetViews>
  <sheetFormatPr defaultColWidth="9.140625" defaultRowHeight="12.75" x14ac:dyDescent="0.2"/>
  <cols>
    <col min="1" max="1" width="5.42578125" style="35" customWidth="1"/>
    <col min="2" max="2" width="3.28515625" style="26" customWidth="1"/>
    <col min="3" max="3" width="2.28515625" style="26" customWidth="1"/>
    <col min="4" max="4" width="5.140625" style="26" customWidth="1"/>
    <col min="5" max="5" width="3.28515625" style="26" customWidth="1"/>
    <col min="6" max="6" width="6.85546875" style="34" customWidth="1"/>
    <col min="7" max="7" width="5.5703125" style="35" customWidth="1"/>
    <col min="8" max="8" width="4.7109375" style="26" customWidth="1"/>
    <col min="9" max="9" width="9.28515625" style="26" customWidth="1"/>
    <col min="10" max="10" width="9.5703125" style="26" customWidth="1"/>
    <col min="11" max="11" width="9" style="26" customWidth="1"/>
    <col min="12" max="12" width="8.85546875" style="26" customWidth="1"/>
    <col min="13" max="13" width="16.5703125" style="26" customWidth="1"/>
    <col min="14" max="14" width="9.140625" style="26" customWidth="1"/>
    <col min="15" max="15" width="10.5703125" style="26" customWidth="1"/>
    <col min="16" max="16" width="7.7109375" style="26" customWidth="1"/>
    <col min="17" max="17" width="11.85546875" style="26" customWidth="1"/>
    <col min="18" max="18" width="13.5703125" style="26" customWidth="1"/>
    <col min="19" max="19" width="9.140625" style="26"/>
    <col min="20" max="20" width="13.7109375" style="26" customWidth="1"/>
    <col min="21" max="16384" width="9.140625" style="26"/>
  </cols>
  <sheetData>
    <row r="1" spans="1:24" s="191" customFormat="1" ht="15.95" customHeight="1" x14ac:dyDescent="0.2">
      <c r="A1" s="118" t="s">
        <v>0</v>
      </c>
      <c r="B1" s="36"/>
      <c r="C1" s="36"/>
      <c r="D1" s="36"/>
      <c r="E1" s="385"/>
      <c r="F1" s="385"/>
      <c r="G1" s="404"/>
      <c r="I1" s="111"/>
      <c r="J1" s="228"/>
    </row>
    <row r="2" spans="1:24" s="191" customFormat="1" ht="15.95" customHeight="1" x14ac:dyDescent="0.2">
      <c r="A2" s="118" t="s">
        <v>128</v>
      </c>
      <c r="B2" s="36"/>
      <c r="C2" s="36"/>
      <c r="D2" s="36"/>
      <c r="E2" s="385"/>
      <c r="F2" s="385"/>
      <c r="G2" s="404"/>
      <c r="J2" s="228"/>
    </row>
    <row r="3" spans="1:24" s="191" customFormat="1" ht="15.95" customHeight="1" x14ac:dyDescent="0.2">
      <c r="A3" s="118" t="s">
        <v>129</v>
      </c>
      <c r="B3" s="36"/>
      <c r="C3" s="36"/>
      <c r="D3" s="36"/>
      <c r="E3" s="385"/>
      <c r="F3" s="385"/>
      <c r="G3" s="404"/>
      <c r="I3" s="110"/>
      <c r="J3" s="228"/>
    </row>
    <row r="4" spans="1:24" s="191" customFormat="1" ht="15.95" customHeight="1" x14ac:dyDescent="0.2">
      <c r="A4" s="118" t="s">
        <v>130</v>
      </c>
      <c r="B4" s="36"/>
      <c r="C4" s="36"/>
      <c r="D4" s="36"/>
      <c r="E4" s="385"/>
      <c r="F4" s="385"/>
      <c r="G4" s="404"/>
      <c r="J4" s="228"/>
    </row>
    <row r="5" spans="1:24" s="191" customFormat="1" ht="15.95" customHeight="1" x14ac:dyDescent="0.2">
      <c r="A5" s="118" t="s">
        <v>131</v>
      </c>
      <c r="B5" s="36"/>
      <c r="C5" s="36"/>
      <c r="D5" s="36"/>
      <c r="E5" s="385"/>
      <c r="F5" s="385"/>
      <c r="G5" s="404"/>
      <c r="J5" s="228"/>
    </row>
    <row r="6" spans="1:24" s="191" customFormat="1" ht="15.95" customHeight="1" x14ac:dyDescent="0.2">
      <c r="A6" s="118" t="s">
        <v>132</v>
      </c>
      <c r="B6" s="228"/>
      <c r="C6" s="228"/>
      <c r="D6" s="228"/>
      <c r="E6" s="42"/>
      <c r="F6" s="42"/>
      <c r="G6" s="385"/>
      <c r="J6" s="228"/>
    </row>
    <row r="7" spans="1:24" ht="16.5" customHeight="1" x14ac:dyDescent="0.2">
      <c r="A7" s="643" t="s">
        <v>509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496"/>
      <c r="O7" s="496"/>
      <c r="P7" s="496"/>
      <c r="Q7" s="355"/>
      <c r="R7" s="355"/>
      <c r="S7" s="355"/>
    </row>
    <row r="8" spans="1:24" ht="13.5" customHeight="1" x14ac:dyDescent="0.2">
      <c r="A8" s="658" t="s">
        <v>404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497"/>
      <c r="O8" s="497"/>
      <c r="P8" s="497"/>
      <c r="Q8" s="406"/>
      <c r="R8" s="406"/>
      <c r="S8" s="406"/>
    </row>
    <row r="9" spans="1:24" ht="20.100000000000001" customHeight="1" x14ac:dyDescent="0.2"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97"/>
      <c r="O9" s="497"/>
      <c r="P9" s="497"/>
      <c r="Q9" s="406"/>
      <c r="R9" s="406"/>
      <c r="S9" s="406"/>
    </row>
    <row r="10" spans="1:24" s="20" customFormat="1" ht="25.5" customHeight="1" x14ac:dyDescent="0.2">
      <c r="A10" s="669" t="s">
        <v>137</v>
      </c>
      <c r="B10" s="670"/>
      <c r="C10" s="670"/>
      <c r="D10" s="670"/>
      <c r="E10" s="671"/>
      <c r="F10" s="758" t="s">
        <v>134</v>
      </c>
      <c r="G10" s="761" t="s">
        <v>135</v>
      </c>
      <c r="H10" s="762"/>
      <c r="I10" s="763"/>
      <c r="J10" s="660" t="s">
        <v>136</v>
      </c>
      <c r="K10" s="669" t="s">
        <v>51</v>
      </c>
      <c r="L10" s="708"/>
      <c r="M10" s="709"/>
      <c r="N10" s="195"/>
      <c r="O10" s="195"/>
      <c r="P10" s="195"/>
      <c r="Q10" s="195"/>
      <c r="R10" s="106"/>
      <c r="S10" s="106"/>
    </row>
    <row r="11" spans="1:24" s="20" customFormat="1" ht="22.5" customHeight="1" x14ac:dyDescent="0.2">
      <c r="A11" s="666" t="s">
        <v>1</v>
      </c>
      <c r="B11" s="667"/>
      <c r="C11" s="667"/>
      <c r="D11" s="667"/>
      <c r="E11" s="668"/>
      <c r="F11" s="759"/>
      <c r="G11" s="660" t="s">
        <v>98</v>
      </c>
      <c r="H11" s="186" t="s">
        <v>125</v>
      </c>
      <c r="I11" s="660" t="s">
        <v>138</v>
      </c>
      <c r="J11" s="661"/>
      <c r="K11" s="710"/>
      <c r="L11" s="711"/>
      <c r="M11" s="712"/>
      <c r="N11" s="195"/>
      <c r="O11" s="195"/>
      <c r="P11" s="195"/>
      <c r="Q11" s="195"/>
      <c r="R11" s="195"/>
      <c r="S11" s="195"/>
    </row>
    <row r="12" spans="1:24" s="239" customFormat="1" ht="13.5" customHeight="1" x14ac:dyDescent="0.2">
      <c r="A12" s="230"/>
      <c r="B12" s="231"/>
      <c r="C12" s="231"/>
      <c r="D12" s="231"/>
      <c r="E12" s="232"/>
      <c r="F12" s="760"/>
      <c r="G12" s="672"/>
      <c r="H12" s="187"/>
      <c r="I12" s="662"/>
      <c r="J12" s="662"/>
      <c r="K12" s="710"/>
      <c r="L12" s="711"/>
      <c r="M12" s="712"/>
      <c r="N12" s="195"/>
      <c r="O12" s="195"/>
      <c r="P12" s="195"/>
      <c r="Q12" s="195"/>
      <c r="R12" s="195"/>
      <c r="S12" s="195"/>
    </row>
    <row r="13" spans="1:24" ht="21" customHeight="1" thickBot="1" x14ac:dyDescent="0.25">
      <c r="A13" s="130"/>
      <c r="B13" s="20"/>
      <c r="C13" s="96"/>
      <c r="D13" s="129"/>
      <c r="E13" s="96"/>
      <c r="F13" s="95" t="s">
        <v>490</v>
      </c>
      <c r="G13" s="96">
        <v>1.1990000000000001</v>
      </c>
      <c r="H13" s="479"/>
      <c r="I13" s="480" t="s">
        <v>570</v>
      </c>
      <c r="J13" s="210"/>
      <c r="K13" s="713"/>
      <c r="L13" s="714"/>
      <c r="M13" s="715"/>
      <c r="N13" s="195"/>
      <c r="O13" s="195"/>
      <c r="P13" s="195"/>
    </row>
    <row r="14" spans="1:24" s="18" customFormat="1" ht="15" customHeight="1" thickTop="1" x14ac:dyDescent="0.2">
      <c r="A14" s="140"/>
      <c r="B14" s="53" t="s">
        <v>511</v>
      </c>
      <c r="C14" s="49"/>
      <c r="D14" s="49"/>
      <c r="E14" s="50"/>
      <c r="F14" s="217"/>
      <c r="G14" s="30"/>
      <c r="H14" s="28"/>
      <c r="I14" s="28"/>
      <c r="J14" s="11"/>
      <c r="K14" s="11"/>
      <c r="L14" s="24"/>
      <c r="M14" s="24"/>
      <c r="N14" s="19"/>
      <c r="O14" s="19"/>
      <c r="P14" s="19"/>
      <c r="Q14" s="19"/>
      <c r="R14" s="109"/>
      <c r="S14" s="109"/>
      <c r="T14" s="191"/>
      <c r="U14" s="191"/>
      <c r="V14" s="26"/>
      <c r="W14" s="88"/>
      <c r="X14" s="26"/>
    </row>
    <row r="15" spans="1:24" s="18" customFormat="1" ht="15" customHeight="1" x14ac:dyDescent="0.2">
      <c r="A15" s="55"/>
      <c r="B15" s="45" t="s">
        <v>19</v>
      </c>
      <c r="C15" s="152"/>
      <c r="D15" s="152"/>
      <c r="E15" s="153"/>
      <c r="F15" s="13"/>
      <c r="G15" s="429"/>
      <c r="H15" s="11"/>
      <c r="I15" s="11"/>
      <c r="J15" s="11"/>
      <c r="K15" s="11"/>
      <c r="L15" s="11"/>
      <c r="M15" s="11"/>
      <c r="N15" s="19"/>
      <c r="O15" s="19"/>
      <c r="P15" s="19"/>
      <c r="Q15" s="19"/>
      <c r="R15" s="364"/>
      <c r="S15" s="364"/>
      <c r="T15" s="191"/>
      <c r="U15" s="191"/>
      <c r="V15" s="89"/>
      <c r="W15" s="26"/>
      <c r="X15" s="26"/>
    </row>
    <row r="16" spans="1:24" s="18" customFormat="1" ht="15" customHeight="1" x14ac:dyDescent="0.2">
      <c r="A16" s="842" t="s">
        <v>512</v>
      </c>
      <c r="B16" s="837" t="s">
        <v>175</v>
      </c>
      <c r="C16" s="838"/>
      <c r="D16" s="838"/>
      <c r="E16" s="839"/>
      <c r="F16" s="840" t="s">
        <v>149</v>
      </c>
      <c r="G16" s="807" t="s">
        <v>10</v>
      </c>
      <c r="H16" s="831">
        <v>4.5</v>
      </c>
      <c r="I16" s="841">
        <f>ROUND(4500*1.45*1.0625*1*1.35*75%*1*$G$13,2)</f>
        <v>8416.35</v>
      </c>
      <c r="J16" s="841">
        <f>ROUND(H16*I16,2)</f>
        <v>37873.58</v>
      </c>
      <c r="K16" s="684" t="s">
        <v>120</v>
      </c>
      <c r="L16" s="694"/>
      <c r="M16" s="695"/>
      <c r="N16" s="831">
        <v>4.5</v>
      </c>
      <c r="O16" s="841">
        <f>ROUND(4500*1.45*1.0625*1*1.35*100%*1*$G$13,2)</f>
        <v>11221.8</v>
      </c>
      <c r="P16" s="841">
        <f>ROUND(N16*O16,2)</f>
        <v>50498.1</v>
      </c>
      <c r="Q16" s="364"/>
      <c r="R16" s="364"/>
      <c r="S16" s="364"/>
      <c r="T16" s="90"/>
      <c r="U16" s="87"/>
      <c r="V16" s="89"/>
      <c r="W16" s="91"/>
      <c r="X16" s="26"/>
    </row>
    <row r="17" spans="1:33" s="18" customFormat="1" ht="15" customHeight="1" x14ac:dyDescent="0.2">
      <c r="A17" s="771"/>
      <c r="B17" s="764"/>
      <c r="C17" s="778"/>
      <c r="D17" s="778"/>
      <c r="E17" s="693"/>
      <c r="F17" s="773"/>
      <c r="G17" s="771"/>
      <c r="H17" s="771"/>
      <c r="I17" s="771"/>
      <c r="J17" s="771"/>
      <c r="K17" s="696" t="s">
        <v>358</v>
      </c>
      <c r="L17" s="697"/>
      <c r="M17" s="698"/>
      <c r="N17" s="771"/>
      <c r="O17" s="771"/>
      <c r="P17" s="771"/>
      <c r="Q17" s="364"/>
      <c r="R17" s="364"/>
      <c r="S17" s="364"/>
      <c r="T17" s="89"/>
      <c r="U17" s="101"/>
      <c r="V17" s="239"/>
      <c r="W17" s="89"/>
      <c r="X17" s="89"/>
      <c r="Y17" s="91"/>
      <c r="Z17" s="26"/>
      <c r="AA17" s="191"/>
      <c r="AB17" s="191"/>
      <c r="AC17" s="90"/>
      <c r="AD17" s="87"/>
      <c r="AE17" s="89"/>
      <c r="AF17" s="91"/>
      <c r="AG17" s="26"/>
    </row>
    <row r="18" spans="1:33" s="18" customFormat="1" ht="27" customHeight="1" x14ac:dyDescent="0.2">
      <c r="A18" s="771"/>
      <c r="B18" s="764"/>
      <c r="C18" s="778"/>
      <c r="D18" s="778"/>
      <c r="E18" s="693"/>
      <c r="F18" s="773"/>
      <c r="G18" s="771"/>
      <c r="H18" s="771"/>
      <c r="I18" s="771"/>
      <c r="J18" s="771"/>
      <c r="K18" s="696" t="s">
        <v>96</v>
      </c>
      <c r="L18" s="697"/>
      <c r="M18" s="698"/>
      <c r="N18" s="771"/>
      <c r="O18" s="771"/>
      <c r="P18" s="771"/>
      <c r="Q18" s="364"/>
      <c r="R18" s="364"/>
      <c r="S18" s="364"/>
      <c r="T18" s="89"/>
      <c r="U18" s="102"/>
      <c r="V18" s="239"/>
      <c r="W18" s="89"/>
      <c r="X18" s="89"/>
      <c r="Y18" s="91"/>
      <c r="Z18" s="26"/>
      <c r="AA18" s="191"/>
      <c r="AB18" s="191"/>
      <c r="AC18" s="90"/>
      <c r="AD18" s="87"/>
      <c r="AE18" s="89"/>
      <c r="AF18" s="91"/>
      <c r="AG18" s="26"/>
    </row>
    <row r="19" spans="1:33" s="18" customFormat="1" ht="13.5" customHeight="1" x14ac:dyDescent="0.2">
      <c r="A19" s="771"/>
      <c r="B19" s="764"/>
      <c r="C19" s="778"/>
      <c r="D19" s="778"/>
      <c r="E19" s="693"/>
      <c r="F19" s="773"/>
      <c r="G19" s="771"/>
      <c r="H19" s="771"/>
      <c r="I19" s="771"/>
      <c r="J19" s="771"/>
      <c r="K19" s="696" t="s">
        <v>425</v>
      </c>
      <c r="L19" s="697"/>
      <c r="M19" s="698"/>
      <c r="N19" s="771"/>
      <c r="O19" s="771"/>
      <c r="P19" s="771"/>
      <c r="Q19" s="364"/>
      <c r="R19" s="18">
        <f>1.625-(0.125*4.5)</f>
        <v>1.0625</v>
      </c>
      <c r="S19" s="364"/>
      <c r="T19" s="89"/>
      <c r="U19" s="843"/>
      <c r="V19" s="843"/>
      <c r="W19" s="843"/>
      <c r="X19" s="843"/>
      <c r="Y19" s="843"/>
      <c r="Z19" s="843"/>
      <c r="AA19" s="191"/>
      <c r="AB19" s="191"/>
      <c r="AC19" s="90"/>
      <c r="AD19" s="87"/>
      <c r="AE19" s="89"/>
      <c r="AF19" s="91"/>
      <c r="AG19" s="26"/>
    </row>
    <row r="20" spans="1:33" s="18" customFormat="1" ht="15" customHeight="1" x14ac:dyDescent="0.2">
      <c r="A20" s="771"/>
      <c r="B20" s="764"/>
      <c r="C20" s="778"/>
      <c r="D20" s="778"/>
      <c r="E20" s="693"/>
      <c r="F20" s="773"/>
      <c r="G20" s="771"/>
      <c r="H20" s="771"/>
      <c r="I20" s="771"/>
      <c r="J20" s="771"/>
      <c r="K20" s="696" t="s">
        <v>72</v>
      </c>
      <c r="L20" s="697"/>
      <c r="M20" s="698"/>
      <c r="N20" s="771"/>
      <c r="O20" s="771"/>
      <c r="P20" s="771"/>
      <c r="Q20" s="364"/>
      <c r="R20" s="364"/>
      <c r="S20" s="364"/>
      <c r="T20" s="89"/>
      <c r="U20" s="99"/>
      <c r="V20" s="103"/>
      <c r="W20" s="103"/>
      <c r="X20" s="103"/>
      <c r="Y20" s="103"/>
      <c r="Z20" s="103"/>
      <c r="AA20" s="191"/>
      <c r="AB20" s="191"/>
      <c r="AC20" s="90"/>
      <c r="AD20" s="87"/>
      <c r="AE20" s="89"/>
      <c r="AF20" s="91"/>
      <c r="AG20" s="26"/>
    </row>
    <row r="21" spans="1:33" s="18" customFormat="1" ht="28.15" customHeight="1" x14ac:dyDescent="0.2">
      <c r="A21" s="771"/>
      <c r="B21" s="764"/>
      <c r="C21" s="778"/>
      <c r="D21" s="778"/>
      <c r="E21" s="693"/>
      <c r="F21" s="773"/>
      <c r="G21" s="771"/>
      <c r="H21" s="771"/>
      <c r="I21" s="771"/>
      <c r="J21" s="771"/>
      <c r="K21" s="696" t="s">
        <v>359</v>
      </c>
      <c r="L21" s="697"/>
      <c r="M21" s="698"/>
      <c r="N21" s="771"/>
      <c r="O21" s="771"/>
      <c r="P21" s="771"/>
      <c r="Q21" s="364"/>
      <c r="R21" s="378">
        <f>1.5*(4.5/5)</f>
        <v>1.35</v>
      </c>
      <c r="S21" s="364"/>
      <c r="T21" s="89"/>
      <c r="U21" s="99"/>
      <c r="V21" s="239"/>
      <c r="W21" s="89"/>
      <c r="X21" s="89"/>
      <c r="Y21" s="91"/>
      <c r="Z21" s="26"/>
      <c r="AA21" s="191"/>
      <c r="AB21" s="191"/>
      <c r="AC21" s="90"/>
      <c r="AD21" s="87"/>
      <c r="AE21" s="89"/>
      <c r="AF21" s="91"/>
      <c r="AG21" s="26"/>
    </row>
    <row r="22" spans="1:33" s="18" customFormat="1" ht="15" customHeight="1" x14ac:dyDescent="0.2">
      <c r="A22" s="771"/>
      <c r="B22" s="764"/>
      <c r="C22" s="778"/>
      <c r="D22" s="778"/>
      <c r="E22" s="693"/>
      <c r="F22" s="773"/>
      <c r="G22" s="771"/>
      <c r="H22" s="771"/>
      <c r="I22" s="771"/>
      <c r="J22" s="771"/>
      <c r="K22" s="696" t="s">
        <v>150</v>
      </c>
      <c r="L22" s="697"/>
      <c r="M22" s="698"/>
      <c r="N22" s="771"/>
      <c r="O22" s="771"/>
      <c r="P22" s="771"/>
      <c r="Q22" s="364"/>
      <c r="R22" s="364"/>
      <c r="S22" s="364"/>
      <c r="T22" s="89"/>
      <c r="U22" s="89"/>
      <c r="V22" s="91"/>
      <c r="W22" s="26"/>
      <c r="X22" s="89"/>
      <c r="Y22" s="91"/>
      <c r="Z22" s="26"/>
      <c r="AA22" s="191"/>
      <c r="AB22" s="191"/>
      <c r="AC22" s="90"/>
      <c r="AD22" s="87"/>
      <c r="AE22" s="89"/>
      <c r="AF22" s="91"/>
      <c r="AG22" s="26"/>
    </row>
    <row r="23" spans="1:33" s="18" customFormat="1" ht="26.25" customHeight="1" x14ac:dyDescent="0.2">
      <c r="A23" s="771"/>
      <c r="B23" s="764"/>
      <c r="C23" s="778"/>
      <c r="D23" s="778"/>
      <c r="E23" s="693"/>
      <c r="F23" s="773"/>
      <c r="G23" s="771"/>
      <c r="H23" s="771"/>
      <c r="I23" s="771"/>
      <c r="J23" s="771"/>
      <c r="K23" s="696" t="s">
        <v>360</v>
      </c>
      <c r="L23" s="697"/>
      <c r="M23" s="698"/>
      <c r="N23" s="771"/>
      <c r="O23" s="771"/>
      <c r="P23" s="771"/>
      <c r="Q23" s="364"/>
      <c r="R23" s="364"/>
      <c r="S23" s="364"/>
      <c r="T23" s="89"/>
      <c r="U23" s="239"/>
      <c r="V23" s="239"/>
      <c r="W23" s="89"/>
      <c r="X23" s="89"/>
      <c r="Y23" s="91"/>
      <c r="Z23" s="26"/>
      <c r="AA23" s="191"/>
      <c r="AB23" s="191"/>
      <c r="AC23" s="90"/>
      <c r="AD23" s="87"/>
      <c r="AE23" s="89"/>
      <c r="AF23" s="91"/>
      <c r="AG23" s="26"/>
    </row>
    <row r="24" spans="1:33" s="18" customFormat="1" ht="15" customHeight="1" x14ac:dyDescent="0.2">
      <c r="A24" s="771"/>
      <c r="B24" s="764"/>
      <c r="C24" s="778"/>
      <c r="D24" s="778"/>
      <c r="E24" s="693"/>
      <c r="F24" s="773"/>
      <c r="G24" s="771"/>
      <c r="H24" s="771"/>
      <c r="I24" s="771"/>
      <c r="J24" s="771"/>
      <c r="K24" s="696" t="s">
        <v>361</v>
      </c>
      <c r="L24" s="697"/>
      <c r="M24" s="698"/>
      <c r="N24" s="771"/>
      <c r="O24" s="771"/>
      <c r="P24" s="771"/>
      <c r="Q24" s="364"/>
      <c r="R24" s="378"/>
      <c r="S24" s="364"/>
      <c r="T24" s="89"/>
      <c r="U24" s="239"/>
      <c r="V24" s="239"/>
      <c r="W24" s="89"/>
      <c r="X24" s="89"/>
      <c r="Y24" s="91"/>
      <c r="Z24" s="26"/>
      <c r="AA24" s="191"/>
      <c r="AB24" s="191"/>
      <c r="AC24" s="90"/>
      <c r="AD24" s="87"/>
      <c r="AE24" s="89"/>
      <c r="AF24" s="91"/>
      <c r="AG24" s="26"/>
    </row>
    <row r="25" spans="1:33" s="18" customFormat="1" ht="15" customHeight="1" x14ac:dyDescent="0.2">
      <c r="A25" s="771"/>
      <c r="B25" s="764"/>
      <c r="C25" s="778"/>
      <c r="D25" s="778"/>
      <c r="E25" s="693"/>
      <c r="F25" s="773"/>
      <c r="G25" s="771"/>
      <c r="H25" s="771"/>
      <c r="I25" s="771"/>
      <c r="J25" s="771"/>
      <c r="K25" s="696" t="s">
        <v>84</v>
      </c>
      <c r="L25" s="697"/>
      <c r="M25" s="698"/>
      <c r="N25" s="771"/>
      <c r="O25" s="771"/>
      <c r="P25" s="771"/>
      <c r="Q25" s="364"/>
      <c r="R25" s="364"/>
      <c r="S25" s="364"/>
      <c r="T25" s="89"/>
      <c r="U25" s="25"/>
      <c r="V25" s="89"/>
      <c r="W25" s="89"/>
      <c r="X25" s="89"/>
      <c r="Y25" s="100"/>
      <c r="Z25" s="26"/>
      <c r="AA25" s="191"/>
      <c r="AB25" s="191"/>
      <c r="AC25" s="90"/>
      <c r="AD25" s="87"/>
      <c r="AE25" s="89"/>
      <c r="AF25" s="91"/>
      <c r="AG25" s="26"/>
    </row>
    <row r="26" spans="1:33" s="18" customFormat="1" ht="28.5" customHeight="1" x14ac:dyDescent="0.2">
      <c r="A26" s="771"/>
      <c r="B26" s="764"/>
      <c r="C26" s="778"/>
      <c r="D26" s="778"/>
      <c r="E26" s="693"/>
      <c r="F26" s="773"/>
      <c r="G26" s="771"/>
      <c r="H26" s="771"/>
      <c r="I26" s="771"/>
      <c r="J26" s="771"/>
      <c r="K26" s="696" t="s">
        <v>99</v>
      </c>
      <c r="L26" s="697"/>
      <c r="M26" s="698"/>
      <c r="N26" s="771"/>
      <c r="O26" s="771"/>
      <c r="P26" s="771"/>
      <c r="Q26" s="364"/>
      <c r="R26" s="378">
        <f>(15+(1.5*2+2))</f>
        <v>20</v>
      </c>
      <c r="S26" s="107"/>
      <c r="T26" s="89"/>
      <c r="U26" s="92"/>
      <c r="V26" s="89"/>
      <c r="W26" s="89"/>
      <c r="X26" s="89"/>
      <c r="Y26" s="91"/>
      <c r="Z26" s="26"/>
      <c r="AA26" s="191"/>
      <c r="AB26" s="191"/>
      <c r="AC26" s="90"/>
      <c r="AD26" s="87"/>
      <c r="AE26" s="89"/>
      <c r="AF26" s="91"/>
      <c r="AG26" s="26"/>
    </row>
    <row r="27" spans="1:33" s="18" customFormat="1" ht="15" customHeight="1" x14ac:dyDescent="0.2">
      <c r="A27" s="772"/>
      <c r="B27" s="734"/>
      <c r="C27" s="703"/>
      <c r="D27" s="703"/>
      <c r="E27" s="704"/>
      <c r="F27" s="774"/>
      <c r="G27" s="772"/>
      <c r="H27" s="772"/>
      <c r="I27" s="772"/>
      <c r="J27" s="771"/>
      <c r="K27" s="824" t="s">
        <v>95</v>
      </c>
      <c r="L27" s="825"/>
      <c r="M27" s="826"/>
      <c r="N27" s="772"/>
      <c r="O27" s="772"/>
      <c r="P27" s="771"/>
      <c r="Q27" s="364"/>
      <c r="R27" s="107"/>
      <c r="S27" s="107"/>
      <c r="T27" s="89"/>
      <c r="U27" s="843"/>
      <c r="V27" s="843"/>
      <c r="W27" s="843"/>
      <c r="X27" s="89"/>
      <c r="Y27" s="104"/>
      <c r="Z27" s="26"/>
      <c r="AA27" s="191"/>
      <c r="AB27" s="191"/>
      <c r="AC27" s="90"/>
      <c r="AD27" s="87"/>
      <c r="AE27" s="89"/>
      <c r="AF27" s="91"/>
      <c r="AG27" s="26"/>
    </row>
    <row r="28" spans="1:33" s="18" customFormat="1" ht="27.75" customHeight="1" x14ac:dyDescent="0.2">
      <c r="A28" s="842" t="s">
        <v>513</v>
      </c>
      <c r="B28" s="837" t="s">
        <v>151</v>
      </c>
      <c r="C28" s="838"/>
      <c r="D28" s="838"/>
      <c r="E28" s="839"/>
      <c r="F28" s="840" t="s">
        <v>152</v>
      </c>
      <c r="G28" s="807" t="s">
        <v>5</v>
      </c>
      <c r="H28" s="831">
        <v>4</v>
      </c>
      <c r="I28" s="841">
        <f>ROUND(155*(10 + 0.15*20)*75%*1*$G$13,2)</f>
        <v>1811.99</v>
      </c>
      <c r="J28" s="841">
        <f>ROUND(H28*I28,2)</f>
        <v>7247.96</v>
      </c>
      <c r="K28" s="696" t="s">
        <v>155</v>
      </c>
      <c r="L28" s="697"/>
      <c r="M28" s="698"/>
      <c r="N28" s="831">
        <v>3</v>
      </c>
      <c r="O28" s="841">
        <f>ROUND(155*(10 + 0.15*20)*100%*1*$G$13,2)</f>
        <v>2415.9899999999998</v>
      </c>
      <c r="P28" s="841">
        <f>ROUND(N28*O28,2)</f>
        <v>7247.97</v>
      </c>
      <c r="Q28" s="364"/>
      <c r="R28" s="218"/>
      <c r="S28" s="218"/>
    </row>
    <row r="29" spans="1:33" s="18" customFormat="1" ht="15" customHeight="1" x14ac:dyDescent="0.2">
      <c r="A29" s="771"/>
      <c r="B29" s="764"/>
      <c r="C29" s="778"/>
      <c r="D29" s="778"/>
      <c r="E29" s="693"/>
      <c r="F29" s="773"/>
      <c r="G29" s="771"/>
      <c r="H29" s="771"/>
      <c r="I29" s="771"/>
      <c r="J29" s="771"/>
      <c r="K29" s="18" t="s">
        <v>154</v>
      </c>
      <c r="N29" s="771"/>
      <c r="O29" s="771"/>
      <c r="P29" s="771"/>
      <c r="R29" s="218"/>
      <c r="S29" s="218"/>
    </row>
    <row r="30" spans="1:33" s="18" customFormat="1" ht="12.6" customHeight="1" x14ac:dyDescent="0.2">
      <c r="A30" s="771"/>
      <c r="B30" s="764"/>
      <c r="C30" s="778"/>
      <c r="D30" s="778"/>
      <c r="E30" s="693"/>
      <c r="F30" s="773"/>
      <c r="G30" s="771"/>
      <c r="H30" s="771"/>
      <c r="I30" s="771"/>
      <c r="J30" s="771"/>
      <c r="K30" s="696" t="s">
        <v>99</v>
      </c>
      <c r="L30" s="697"/>
      <c r="M30" s="698"/>
      <c r="N30" s="771"/>
      <c r="O30" s="771"/>
      <c r="P30" s="771"/>
      <c r="Q30" s="364"/>
      <c r="R30" s="244" t="s">
        <v>156</v>
      </c>
      <c r="S30" s="2" t="e">
        <f>ROUND(#REF!^(2/3),2)</f>
        <v>#REF!</v>
      </c>
      <c r="T30" s="89"/>
      <c r="U30" s="99"/>
      <c r="V30" s="843"/>
      <c r="W30" s="843"/>
      <c r="X30" s="843"/>
    </row>
    <row r="31" spans="1:33" s="18" customFormat="1" ht="12.6" customHeight="1" x14ac:dyDescent="0.2">
      <c r="A31" s="772"/>
      <c r="B31" s="734"/>
      <c r="C31" s="703"/>
      <c r="D31" s="703"/>
      <c r="E31" s="704"/>
      <c r="F31" s="774"/>
      <c r="G31" s="772"/>
      <c r="H31" s="772"/>
      <c r="I31" s="772"/>
      <c r="J31" s="771"/>
      <c r="K31" s="824" t="s">
        <v>153</v>
      </c>
      <c r="L31" s="825"/>
      <c r="M31" s="826"/>
      <c r="N31" s="772"/>
      <c r="O31" s="772"/>
      <c r="P31" s="771"/>
      <c r="Q31" s="364"/>
      <c r="R31" s="244" t="s">
        <v>157</v>
      </c>
      <c r="S31" s="2" t="e">
        <f>ROUND(#REF!^(1/3),2)</f>
        <v>#REF!</v>
      </c>
      <c r="T31" s="89"/>
      <c r="U31" s="92"/>
      <c r="V31" s="89"/>
      <c r="W31" s="89"/>
      <c r="X31" s="105"/>
    </row>
    <row r="32" spans="1:33" s="18" customFormat="1" ht="15" customHeight="1" x14ac:dyDescent="0.2">
      <c r="A32" s="547"/>
      <c r="B32" s="776"/>
      <c r="C32" s="776"/>
      <c r="D32" s="776"/>
      <c r="E32" s="776"/>
      <c r="F32" s="776"/>
      <c r="G32" s="502"/>
      <c r="H32" s="548"/>
      <c r="I32" s="549"/>
      <c r="J32" s="127"/>
      <c r="K32" s="550"/>
      <c r="L32" s="550"/>
      <c r="M32" s="551"/>
      <c r="N32" s="107"/>
      <c r="O32" s="107"/>
      <c r="P32" s="107"/>
      <c r="Q32" s="107"/>
      <c r="R32" s="218"/>
      <c r="S32" s="218"/>
    </row>
    <row r="33" spans="1:13" s="504" customFormat="1" ht="13.5" x14ac:dyDescent="0.25">
      <c r="A33" s="524" t="s">
        <v>493</v>
      </c>
      <c r="C33" s="525"/>
      <c r="D33" s="525"/>
      <c r="E33" s="525"/>
      <c r="F33" s="526"/>
      <c r="G33" s="527"/>
      <c r="H33" s="512"/>
      <c r="I33" s="513"/>
      <c r="J33" s="530">
        <f>P16+P28</f>
        <v>57746.07</v>
      </c>
      <c r="K33" s="447"/>
      <c r="L33" s="447"/>
      <c r="M33" s="447"/>
    </row>
    <row r="34" spans="1:13" s="504" customFormat="1" x14ac:dyDescent="0.2">
      <c r="A34" s="516"/>
      <c r="B34" s="517"/>
      <c r="C34" s="518"/>
      <c r="D34" s="518"/>
      <c r="E34" s="519"/>
      <c r="F34" s="520"/>
      <c r="G34" s="521"/>
      <c r="H34" s="522"/>
      <c r="I34" s="522"/>
      <c r="J34" s="523"/>
      <c r="K34" s="447"/>
      <c r="L34" s="447"/>
      <c r="M34" s="447"/>
    </row>
    <row r="35" spans="1:13" s="504" customFormat="1" ht="15" customHeight="1" x14ac:dyDescent="0.25">
      <c r="A35" s="509" t="s">
        <v>514</v>
      </c>
      <c r="B35" s="546"/>
      <c r="C35" s="510"/>
      <c r="D35" s="510"/>
      <c r="E35" s="510"/>
      <c r="F35" s="511"/>
      <c r="G35" s="481"/>
      <c r="H35" s="522"/>
      <c r="I35" s="531"/>
      <c r="J35" s="532">
        <f>J16+J28</f>
        <v>45121.54</v>
      </c>
      <c r="K35" s="447"/>
      <c r="L35" s="447"/>
      <c r="M35" s="447"/>
    </row>
  </sheetData>
  <mergeCells count="49">
    <mergeCell ref="B32:F32"/>
    <mergeCell ref="I28:I31"/>
    <mergeCell ref="J28:J31"/>
    <mergeCell ref="K28:M28"/>
    <mergeCell ref="K30:M30"/>
    <mergeCell ref="V30:X30"/>
    <mergeCell ref="K31:M31"/>
    <mergeCell ref="K24:M24"/>
    <mergeCell ref="K25:M25"/>
    <mergeCell ref="K26:M26"/>
    <mergeCell ref="K27:M27"/>
    <mergeCell ref="U27:W27"/>
    <mergeCell ref="N28:N31"/>
    <mergeCell ref="O28:O31"/>
    <mergeCell ref="P28:P31"/>
    <mergeCell ref="A28:A31"/>
    <mergeCell ref="B28:E31"/>
    <mergeCell ref="F28:F31"/>
    <mergeCell ref="G28:G31"/>
    <mergeCell ref="H28:H31"/>
    <mergeCell ref="J16:J27"/>
    <mergeCell ref="K16:M16"/>
    <mergeCell ref="K17:M17"/>
    <mergeCell ref="K18:M18"/>
    <mergeCell ref="K19:M19"/>
    <mergeCell ref="U19:Z19"/>
    <mergeCell ref="K20:M20"/>
    <mergeCell ref="K21:M21"/>
    <mergeCell ref="K22:M22"/>
    <mergeCell ref="K23:M23"/>
    <mergeCell ref="N16:N27"/>
    <mergeCell ref="O16:O27"/>
    <mergeCell ref="P16:P27"/>
    <mergeCell ref="I16:I27"/>
    <mergeCell ref="A7:M7"/>
    <mergeCell ref="A8:M8"/>
    <mergeCell ref="A10:E10"/>
    <mergeCell ref="F10:F12"/>
    <mergeCell ref="G10:I10"/>
    <mergeCell ref="J10:J12"/>
    <mergeCell ref="K10:M13"/>
    <mergeCell ref="A11:E11"/>
    <mergeCell ref="G11:G12"/>
    <mergeCell ref="I11:I12"/>
    <mergeCell ref="A16:A27"/>
    <mergeCell ref="B16:E27"/>
    <mergeCell ref="F16:F27"/>
    <mergeCell ref="G16:G27"/>
    <mergeCell ref="H16:H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3.85546875" style="3" customWidth="1"/>
    <col min="2" max="2" width="4.42578125" style="1" customWidth="1"/>
    <col min="3" max="3" width="3.140625" style="1" customWidth="1"/>
    <col min="4" max="5" width="3.85546875" style="1" customWidth="1"/>
    <col min="6" max="6" width="6.85546875" style="618" customWidth="1"/>
    <col min="7" max="7" width="7.85546875" style="3" customWidth="1"/>
    <col min="8" max="8" width="7.85546875" style="1" customWidth="1"/>
    <col min="9" max="9" width="8.85546875" style="1" customWidth="1"/>
    <col min="10" max="10" width="8.28515625" style="1" customWidth="1"/>
    <col min="11" max="11" width="3.85546875" style="1" customWidth="1"/>
    <col min="12" max="12" width="6.5703125" style="1" customWidth="1"/>
    <col min="13" max="13" width="23" style="1" customWidth="1"/>
    <col min="14" max="14" width="13.5703125" style="1" customWidth="1"/>
    <col min="15" max="15" width="9.140625" style="1"/>
    <col min="16" max="16" width="13.7109375" style="1" customWidth="1"/>
    <col min="17" max="256" width="9.140625" style="1"/>
    <col min="257" max="257" width="5.42578125" style="1" customWidth="1"/>
    <col min="258" max="258" width="5.85546875" style="1" customWidth="1"/>
    <col min="259" max="259" width="4" style="1" customWidth="1"/>
    <col min="260" max="260" width="5.140625" style="1" customWidth="1"/>
    <col min="261" max="261" width="6" style="1" customWidth="1"/>
    <col min="262" max="262" width="8.5703125" style="1" customWidth="1"/>
    <col min="263" max="263" width="8.28515625" style="1" customWidth="1"/>
    <col min="264" max="264" width="7.85546875" style="1" customWidth="1"/>
    <col min="265" max="265" width="10.85546875" style="1" customWidth="1"/>
    <col min="266" max="266" width="10.42578125" style="1" customWidth="1"/>
    <col min="267" max="267" width="8" style="1" customWidth="1"/>
    <col min="268" max="268" width="8.85546875" style="1" customWidth="1"/>
    <col min="269" max="269" width="23" style="1" customWidth="1"/>
    <col min="270" max="270" width="13.5703125" style="1" customWidth="1"/>
    <col min="271" max="271" width="9.140625" style="1"/>
    <col min="272" max="272" width="13.7109375" style="1" customWidth="1"/>
    <col min="273" max="512" width="9.140625" style="1"/>
    <col min="513" max="513" width="5.42578125" style="1" customWidth="1"/>
    <col min="514" max="514" width="5.85546875" style="1" customWidth="1"/>
    <col min="515" max="515" width="4" style="1" customWidth="1"/>
    <col min="516" max="516" width="5.140625" style="1" customWidth="1"/>
    <col min="517" max="517" width="6" style="1" customWidth="1"/>
    <col min="518" max="518" width="8.5703125" style="1" customWidth="1"/>
    <col min="519" max="519" width="8.28515625" style="1" customWidth="1"/>
    <col min="520" max="520" width="7.85546875" style="1" customWidth="1"/>
    <col min="521" max="521" width="10.85546875" style="1" customWidth="1"/>
    <col min="522" max="522" width="10.42578125" style="1" customWidth="1"/>
    <col min="523" max="523" width="8" style="1" customWidth="1"/>
    <col min="524" max="524" width="8.85546875" style="1" customWidth="1"/>
    <col min="525" max="525" width="23" style="1" customWidth="1"/>
    <col min="526" max="526" width="13.5703125" style="1" customWidth="1"/>
    <col min="527" max="527" width="9.140625" style="1"/>
    <col min="528" max="528" width="13.7109375" style="1" customWidth="1"/>
    <col min="529" max="768" width="9.140625" style="1"/>
    <col min="769" max="769" width="5.42578125" style="1" customWidth="1"/>
    <col min="770" max="770" width="5.85546875" style="1" customWidth="1"/>
    <col min="771" max="771" width="4" style="1" customWidth="1"/>
    <col min="772" max="772" width="5.140625" style="1" customWidth="1"/>
    <col min="773" max="773" width="6" style="1" customWidth="1"/>
    <col min="774" max="774" width="8.5703125" style="1" customWidth="1"/>
    <col min="775" max="775" width="8.28515625" style="1" customWidth="1"/>
    <col min="776" max="776" width="7.85546875" style="1" customWidth="1"/>
    <col min="777" max="777" width="10.85546875" style="1" customWidth="1"/>
    <col min="778" max="778" width="10.42578125" style="1" customWidth="1"/>
    <col min="779" max="779" width="8" style="1" customWidth="1"/>
    <col min="780" max="780" width="8.85546875" style="1" customWidth="1"/>
    <col min="781" max="781" width="23" style="1" customWidth="1"/>
    <col min="782" max="782" width="13.5703125" style="1" customWidth="1"/>
    <col min="783" max="783" width="9.140625" style="1"/>
    <col min="784" max="784" width="13.7109375" style="1" customWidth="1"/>
    <col min="785" max="1024" width="9.140625" style="1"/>
    <col min="1025" max="1025" width="5.42578125" style="1" customWidth="1"/>
    <col min="1026" max="1026" width="5.85546875" style="1" customWidth="1"/>
    <col min="1027" max="1027" width="4" style="1" customWidth="1"/>
    <col min="1028" max="1028" width="5.140625" style="1" customWidth="1"/>
    <col min="1029" max="1029" width="6" style="1" customWidth="1"/>
    <col min="1030" max="1030" width="8.5703125" style="1" customWidth="1"/>
    <col min="1031" max="1031" width="8.28515625" style="1" customWidth="1"/>
    <col min="1032" max="1032" width="7.85546875" style="1" customWidth="1"/>
    <col min="1033" max="1033" width="10.85546875" style="1" customWidth="1"/>
    <col min="1034" max="1034" width="10.42578125" style="1" customWidth="1"/>
    <col min="1035" max="1035" width="8" style="1" customWidth="1"/>
    <col min="1036" max="1036" width="8.85546875" style="1" customWidth="1"/>
    <col min="1037" max="1037" width="23" style="1" customWidth="1"/>
    <col min="1038" max="1038" width="13.5703125" style="1" customWidth="1"/>
    <col min="1039" max="1039" width="9.140625" style="1"/>
    <col min="1040" max="1040" width="13.7109375" style="1" customWidth="1"/>
    <col min="1041" max="1280" width="9.140625" style="1"/>
    <col min="1281" max="1281" width="5.42578125" style="1" customWidth="1"/>
    <col min="1282" max="1282" width="5.85546875" style="1" customWidth="1"/>
    <col min="1283" max="1283" width="4" style="1" customWidth="1"/>
    <col min="1284" max="1284" width="5.140625" style="1" customWidth="1"/>
    <col min="1285" max="1285" width="6" style="1" customWidth="1"/>
    <col min="1286" max="1286" width="8.5703125" style="1" customWidth="1"/>
    <col min="1287" max="1287" width="8.28515625" style="1" customWidth="1"/>
    <col min="1288" max="1288" width="7.85546875" style="1" customWidth="1"/>
    <col min="1289" max="1289" width="10.85546875" style="1" customWidth="1"/>
    <col min="1290" max="1290" width="10.42578125" style="1" customWidth="1"/>
    <col min="1291" max="1291" width="8" style="1" customWidth="1"/>
    <col min="1292" max="1292" width="8.85546875" style="1" customWidth="1"/>
    <col min="1293" max="1293" width="23" style="1" customWidth="1"/>
    <col min="1294" max="1294" width="13.5703125" style="1" customWidth="1"/>
    <col min="1295" max="1295" width="9.140625" style="1"/>
    <col min="1296" max="1296" width="13.7109375" style="1" customWidth="1"/>
    <col min="1297" max="1536" width="9.140625" style="1"/>
    <col min="1537" max="1537" width="5.42578125" style="1" customWidth="1"/>
    <col min="1538" max="1538" width="5.85546875" style="1" customWidth="1"/>
    <col min="1539" max="1539" width="4" style="1" customWidth="1"/>
    <col min="1540" max="1540" width="5.140625" style="1" customWidth="1"/>
    <col min="1541" max="1541" width="6" style="1" customWidth="1"/>
    <col min="1542" max="1542" width="8.5703125" style="1" customWidth="1"/>
    <col min="1543" max="1543" width="8.28515625" style="1" customWidth="1"/>
    <col min="1544" max="1544" width="7.85546875" style="1" customWidth="1"/>
    <col min="1545" max="1545" width="10.85546875" style="1" customWidth="1"/>
    <col min="1546" max="1546" width="10.42578125" style="1" customWidth="1"/>
    <col min="1547" max="1547" width="8" style="1" customWidth="1"/>
    <col min="1548" max="1548" width="8.85546875" style="1" customWidth="1"/>
    <col min="1549" max="1549" width="23" style="1" customWidth="1"/>
    <col min="1550" max="1550" width="13.5703125" style="1" customWidth="1"/>
    <col min="1551" max="1551" width="9.140625" style="1"/>
    <col min="1552" max="1552" width="13.7109375" style="1" customWidth="1"/>
    <col min="1553" max="1792" width="9.140625" style="1"/>
    <col min="1793" max="1793" width="5.42578125" style="1" customWidth="1"/>
    <col min="1794" max="1794" width="5.85546875" style="1" customWidth="1"/>
    <col min="1795" max="1795" width="4" style="1" customWidth="1"/>
    <col min="1796" max="1796" width="5.140625" style="1" customWidth="1"/>
    <col min="1797" max="1797" width="6" style="1" customWidth="1"/>
    <col min="1798" max="1798" width="8.5703125" style="1" customWidth="1"/>
    <col min="1799" max="1799" width="8.28515625" style="1" customWidth="1"/>
    <col min="1800" max="1800" width="7.85546875" style="1" customWidth="1"/>
    <col min="1801" max="1801" width="10.85546875" style="1" customWidth="1"/>
    <col min="1802" max="1802" width="10.42578125" style="1" customWidth="1"/>
    <col min="1803" max="1803" width="8" style="1" customWidth="1"/>
    <col min="1804" max="1804" width="8.85546875" style="1" customWidth="1"/>
    <col min="1805" max="1805" width="23" style="1" customWidth="1"/>
    <col min="1806" max="1806" width="13.5703125" style="1" customWidth="1"/>
    <col min="1807" max="1807" width="9.140625" style="1"/>
    <col min="1808" max="1808" width="13.7109375" style="1" customWidth="1"/>
    <col min="1809" max="2048" width="9.140625" style="1"/>
    <col min="2049" max="2049" width="5.42578125" style="1" customWidth="1"/>
    <col min="2050" max="2050" width="5.85546875" style="1" customWidth="1"/>
    <col min="2051" max="2051" width="4" style="1" customWidth="1"/>
    <col min="2052" max="2052" width="5.140625" style="1" customWidth="1"/>
    <col min="2053" max="2053" width="6" style="1" customWidth="1"/>
    <col min="2054" max="2054" width="8.5703125" style="1" customWidth="1"/>
    <col min="2055" max="2055" width="8.28515625" style="1" customWidth="1"/>
    <col min="2056" max="2056" width="7.85546875" style="1" customWidth="1"/>
    <col min="2057" max="2057" width="10.85546875" style="1" customWidth="1"/>
    <col min="2058" max="2058" width="10.42578125" style="1" customWidth="1"/>
    <col min="2059" max="2059" width="8" style="1" customWidth="1"/>
    <col min="2060" max="2060" width="8.85546875" style="1" customWidth="1"/>
    <col min="2061" max="2061" width="23" style="1" customWidth="1"/>
    <col min="2062" max="2062" width="13.5703125" style="1" customWidth="1"/>
    <col min="2063" max="2063" width="9.140625" style="1"/>
    <col min="2064" max="2064" width="13.7109375" style="1" customWidth="1"/>
    <col min="2065" max="2304" width="9.140625" style="1"/>
    <col min="2305" max="2305" width="5.42578125" style="1" customWidth="1"/>
    <col min="2306" max="2306" width="5.85546875" style="1" customWidth="1"/>
    <col min="2307" max="2307" width="4" style="1" customWidth="1"/>
    <col min="2308" max="2308" width="5.140625" style="1" customWidth="1"/>
    <col min="2309" max="2309" width="6" style="1" customWidth="1"/>
    <col min="2310" max="2310" width="8.5703125" style="1" customWidth="1"/>
    <col min="2311" max="2311" width="8.28515625" style="1" customWidth="1"/>
    <col min="2312" max="2312" width="7.85546875" style="1" customWidth="1"/>
    <col min="2313" max="2313" width="10.85546875" style="1" customWidth="1"/>
    <col min="2314" max="2314" width="10.42578125" style="1" customWidth="1"/>
    <col min="2315" max="2315" width="8" style="1" customWidth="1"/>
    <col min="2316" max="2316" width="8.85546875" style="1" customWidth="1"/>
    <col min="2317" max="2317" width="23" style="1" customWidth="1"/>
    <col min="2318" max="2318" width="13.5703125" style="1" customWidth="1"/>
    <col min="2319" max="2319" width="9.140625" style="1"/>
    <col min="2320" max="2320" width="13.7109375" style="1" customWidth="1"/>
    <col min="2321" max="2560" width="9.140625" style="1"/>
    <col min="2561" max="2561" width="5.42578125" style="1" customWidth="1"/>
    <col min="2562" max="2562" width="5.85546875" style="1" customWidth="1"/>
    <col min="2563" max="2563" width="4" style="1" customWidth="1"/>
    <col min="2564" max="2564" width="5.140625" style="1" customWidth="1"/>
    <col min="2565" max="2565" width="6" style="1" customWidth="1"/>
    <col min="2566" max="2566" width="8.5703125" style="1" customWidth="1"/>
    <col min="2567" max="2567" width="8.28515625" style="1" customWidth="1"/>
    <col min="2568" max="2568" width="7.85546875" style="1" customWidth="1"/>
    <col min="2569" max="2569" width="10.85546875" style="1" customWidth="1"/>
    <col min="2570" max="2570" width="10.42578125" style="1" customWidth="1"/>
    <col min="2571" max="2571" width="8" style="1" customWidth="1"/>
    <col min="2572" max="2572" width="8.85546875" style="1" customWidth="1"/>
    <col min="2573" max="2573" width="23" style="1" customWidth="1"/>
    <col min="2574" max="2574" width="13.5703125" style="1" customWidth="1"/>
    <col min="2575" max="2575" width="9.140625" style="1"/>
    <col min="2576" max="2576" width="13.7109375" style="1" customWidth="1"/>
    <col min="2577" max="2816" width="9.140625" style="1"/>
    <col min="2817" max="2817" width="5.42578125" style="1" customWidth="1"/>
    <col min="2818" max="2818" width="5.85546875" style="1" customWidth="1"/>
    <col min="2819" max="2819" width="4" style="1" customWidth="1"/>
    <col min="2820" max="2820" width="5.140625" style="1" customWidth="1"/>
    <col min="2821" max="2821" width="6" style="1" customWidth="1"/>
    <col min="2822" max="2822" width="8.5703125" style="1" customWidth="1"/>
    <col min="2823" max="2823" width="8.28515625" style="1" customWidth="1"/>
    <col min="2824" max="2824" width="7.85546875" style="1" customWidth="1"/>
    <col min="2825" max="2825" width="10.85546875" style="1" customWidth="1"/>
    <col min="2826" max="2826" width="10.42578125" style="1" customWidth="1"/>
    <col min="2827" max="2827" width="8" style="1" customWidth="1"/>
    <col min="2828" max="2828" width="8.85546875" style="1" customWidth="1"/>
    <col min="2829" max="2829" width="23" style="1" customWidth="1"/>
    <col min="2830" max="2830" width="13.5703125" style="1" customWidth="1"/>
    <col min="2831" max="2831" width="9.140625" style="1"/>
    <col min="2832" max="2832" width="13.7109375" style="1" customWidth="1"/>
    <col min="2833" max="3072" width="9.140625" style="1"/>
    <col min="3073" max="3073" width="5.42578125" style="1" customWidth="1"/>
    <col min="3074" max="3074" width="5.85546875" style="1" customWidth="1"/>
    <col min="3075" max="3075" width="4" style="1" customWidth="1"/>
    <col min="3076" max="3076" width="5.140625" style="1" customWidth="1"/>
    <col min="3077" max="3077" width="6" style="1" customWidth="1"/>
    <col min="3078" max="3078" width="8.5703125" style="1" customWidth="1"/>
    <col min="3079" max="3079" width="8.28515625" style="1" customWidth="1"/>
    <col min="3080" max="3080" width="7.85546875" style="1" customWidth="1"/>
    <col min="3081" max="3081" width="10.85546875" style="1" customWidth="1"/>
    <col min="3082" max="3082" width="10.42578125" style="1" customWidth="1"/>
    <col min="3083" max="3083" width="8" style="1" customWidth="1"/>
    <col min="3084" max="3084" width="8.85546875" style="1" customWidth="1"/>
    <col min="3085" max="3085" width="23" style="1" customWidth="1"/>
    <col min="3086" max="3086" width="13.5703125" style="1" customWidth="1"/>
    <col min="3087" max="3087" width="9.140625" style="1"/>
    <col min="3088" max="3088" width="13.7109375" style="1" customWidth="1"/>
    <col min="3089" max="3328" width="9.140625" style="1"/>
    <col min="3329" max="3329" width="5.42578125" style="1" customWidth="1"/>
    <col min="3330" max="3330" width="5.85546875" style="1" customWidth="1"/>
    <col min="3331" max="3331" width="4" style="1" customWidth="1"/>
    <col min="3332" max="3332" width="5.140625" style="1" customWidth="1"/>
    <col min="3333" max="3333" width="6" style="1" customWidth="1"/>
    <col min="3334" max="3334" width="8.5703125" style="1" customWidth="1"/>
    <col min="3335" max="3335" width="8.28515625" style="1" customWidth="1"/>
    <col min="3336" max="3336" width="7.85546875" style="1" customWidth="1"/>
    <col min="3337" max="3337" width="10.85546875" style="1" customWidth="1"/>
    <col min="3338" max="3338" width="10.42578125" style="1" customWidth="1"/>
    <col min="3339" max="3339" width="8" style="1" customWidth="1"/>
    <col min="3340" max="3340" width="8.85546875" style="1" customWidth="1"/>
    <col min="3341" max="3341" width="23" style="1" customWidth="1"/>
    <col min="3342" max="3342" width="13.5703125" style="1" customWidth="1"/>
    <col min="3343" max="3343" width="9.140625" style="1"/>
    <col min="3344" max="3344" width="13.7109375" style="1" customWidth="1"/>
    <col min="3345" max="3584" width="9.140625" style="1"/>
    <col min="3585" max="3585" width="5.42578125" style="1" customWidth="1"/>
    <col min="3586" max="3586" width="5.85546875" style="1" customWidth="1"/>
    <col min="3587" max="3587" width="4" style="1" customWidth="1"/>
    <col min="3588" max="3588" width="5.140625" style="1" customWidth="1"/>
    <col min="3589" max="3589" width="6" style="1" customWidth="1"/>
    <col min="3590" max="3590" width="8.5703125" style="1" customWidth="1"/>
    <col min="3591" max="3591" width="8.28515625" style="1" customWidth="1"/>
    <col min="3592" max="3592" width="7.85546875" style="1" customWidth="1"/>
    <col min="3593" max="3593" width="10.85546875" style="1" customWidth="1"/>
    <col min="3594" max="3594" width="10.42578125" style="1" customWidth="1"/>
    <col min="3595" max="3595" width="8" style="1" customWidth="1"/>
    <col min="3596" max="3596" width="8.85546875" style="1" customWidth="1"/>
    <col min="3597" max="3597" width="23" style="1" customWidth="1"/>
    <col min="3598" max="3598" width="13.5703125" style="1" customWidth="1"/>
    <col min="3599" max="3599" width="9.140625" style="1"/>
    <col min="3600" max="3600" width="13.7109375" style="1" customWidth="1"/>
    <col min="3601" max="3840" width="9.140625" style="1"/>
    <col min="3841" max="3841" width="5.42578125" style="1" customWidth="1"/>
    <col min="3842" max="3842" width="5.85546875" style="1" customWidth="1"/>
    <col min="3843" max="3843" width="4" style="1" customWidth="1"/>
    <col min="3844" max="3844" width="5.140625" style="1" customWidth="1"/>
    <col min="3845" max="3845" width="6" style="1" customWidth="1"/>
    <col min="3846" max="3846" width="8.5703125" style="1" customWidth="1"/>
    <col min="3847" max="3847" width="8.28515625" style="1" customWidth="1"/>
    <col min="3848" max="3848" width="7.85546875" style="1" customWidth="1"/>
    <col min="3849" max="3849" width="10.85546875" style="1" customWidth="1"/>
    <col min="3850" max="3850" width="10.42578125" style="1" customWidth="1"/>
    <col min="3851" max="3851" width="8" style="1" customWidth="1"/>
    <col min="3852" max="3852" width="8.85546875" style="1" customWidth="1"/>
    <col min="3853" max="3853" width="23" style="1" customWidth="1"/>
    <col min="3854" max="3854" width="13.5703125" style="1" customWidth="1"/>
    <col min="3855" max="3855" width="9.140625" style="1"/>
    <col min="3856" max="3856" width="13.7109375" style="1" customWidth="1"/>
    <col min="3857" max="4096" width="9.140625" style="1"/>
    <col min="4097" max="4097" width="5.42578125" style="1" customWidth="1"/>
    <col min="4098" max="4098" width="5.85546875" style="1" customWidth="1"/>
    <col min="4099" max="4099" width="4" style="1" customWidth="1"/>
    <col min="4100" max="4100" width="5.140625" style="1" customWidth="1"/>
    <col min="4101" max="4101" width="6" style="1" customWidth="1"/>
    <col min="4102" max="4102" width="8.5703125" style="1" customWidth="1"/>
    <col min="4103" max="4103" width="8.28515625" style="1" customWidth="1"/>
    <col min="4104" max="4104" width="7.85546875" style="1" customWidth="1"/>
    <col min="4105" max="4105" width="10.85546875" style="1" customWidth="1"/>
    <col min="4106" max="4106" width="10.42578125" style="1" customWidth="1"/>
    <col min="4107" max="4107" width="8" style="1" customWidth="1"/>
    <col min="4108" max="4108" width="8.85546875" style="1" customWidth="1"/>
    <col min="4109" max="4109" width="23" style="1" customWidth="1"/>
    <col min="4110" max="4110" width="13.5703125" style="1" customWidth="1"/>
    <col min="4111" max="4111" width="9.140625" style="1"/>
    <col min="4112" max="4112" width="13.7109375" style="1" customWidth="1"/>
    <col min="4113" max="4352" width="9.140625" style="1"/>
    <col min="4353" max="4353" width="5.42578125" style="1" customWidth="1"/>
    <col min="4354" max="4354" width="5.85546875" style="1" customWidth="1"/>
    <col min="4355" max="4355" width="4" style="1" customWidth="1"/>
    <col min="4356" max="4356" width="5.140625" style="1" customWidth="1"/>
    <col min="4357" max="4357" width="6" style="1" customWidth="1"/>
    <col min="4358" max="4358" width="8.5703125" style="1" customWidth="1"/>
    <col min="4359" max="4359" width="8.28515625" style="1" customWidth="1"/>
    <col min="4360" max="4360" width="7.85546875" style="1" customWidth="1"/>
    <col min="4361" max="4361" width="10.85546875" style="1" customWidth="1"/>
    <col min="4362" max="4362" width="10.42578125" style="1" customWidth="1"/>
    <col min="4363" max="4363" width="8" style="1" customWidth="1"/>
    <col min="4364" max="4364" width="8.85546875" style="1" customWidth="1"/>
    <col min="4365" max="4365" width="23" style="1" customWidth="1"/>
    <col min="4366" max="4366" width="13.5703125" style="1" customWidth="1"/>
    <col min="4367" max="4367" width="9.140625" style="1"/>
    <col min="4368" max="4368" width="13.7109375" style="1" customWidth="1"/>
    <col min="4369" max="4608" width="9.140625" style="1"/>
    <col min="4609" max="4609" width="5.42578125" style="1" customWidth="1"/>
    <col min="4610" max="4610" width="5.85546875" style="1" customWidth="1"/>
    <col min="4611" max="4611" width="4" style="1" customWidth="1"/>
    <col min="4612" max="4612" width="5.140625" style="1" customWidth="1"/>
    <col min="4613" max="4613" width="6" style="1" customWidth="1"/>
    <col min="4614" max="4614" width="8.5703125" style="1" customWidth="1"/>
    <col min="4615" max="4615" width="8.28515625" style="1" customWidth="1"/>
    <col min="4616" max="4616" width="7.85546875" style="1" customWidth="1"/>
    <col min="4617" max="4617" width="10.85546875" style="1" customWidth="1"/>
    <col min="4618" max="4618" width="10.42578125" style="1" customWidth="1"/>
    <col min="4619" max="4619" width="8" style="1" customWidth="1"/>
    <col min="4620" max="4620" width="8.85546875" style="1" customWidth="1"/>
    <col min="4621" max="4621" width="23" style="1" customWidth="1"/>
    <col min="4622" max="4622" width="13.5703125" style="1" customWidth="1"/>
    <col min="4623" max="4623" width="9.140625" style="1"/>
    <col min="4624" max="4624" width="13.7109375" style="1" customWidth="1"/>
    <col min="4625" max="4864" width="9.140625" style="1"/>
    <col min="4865" max="4865" width="5.42578125" style="1" customWidth="1"/>
    <col min="4866" max="4866" width="5.85546875" style="1" customWidth="1"/>
    <col min="4867" max="4867" width="4" style="1" customWidth="1"/>
    <col min="4868" max="4868" width="5.140625" style="1" customWidth="1"/>
    <col min="4869" max="4869" width="6" style="1" customWidth="1"/>
    <col min="4870" max="4870" width="8.5703125" style="1" customWidth="1"/>
    <col min="4871" max="4871" width="8.28515625" style="1" customWidth="1"/>
    <col min="4872" max="4872" width="7.85546875" style="1" customWidth="1"/>
    <col min="4873" max="4873" width="10.85546875" style="1" customWidth="1"/>
    <col min="4874" max="4874" width="10.42578125" style="1" customWidth="1"/>
    <col min="4875" max="4875" width="8" style="1" customWidth="1"/>
    <col min="4876" max="4876" width="8.85546875" style="1" customWidth="1"/>
    <col min="4877" max="4877" width="23" style="1" customWidth="1"/>
    <col min="4878" max="4878" width="13.5703125" style="1" customWidth="1"/>
    <col min="4879" max="4879" width="9.140625" style="1"/>
    <col min="4880" max="4880" width="13.7109375" style="1" customWidth="1"/>
    <col min="4881" max="5120" width="9.140625" style="1"/>
    <col min="5121" max="5121" width="5.42578125" style="1" customWidth="1"/>
    <col min="5122" max="5122" width="5.85546875" style="1" customWidth="1"/>
    <col min="5123" max="5123" width="4" style="1" customWidth="1"/>
    <col min="5124" max="5124" width="5.140625" style="1" customWidth="1"/>
    <col min="5125" max="5125" width="6" style="1" customWidth="1"/>
    <col min="5126" max="5126" width="8.5703125" style="1" customWidth="1"/>
    <col min="5127" max="5127" width="8.28515625" style="1" customWidth="1"/>
    <col min="5128" max="5128" width="7.85546875" style="1" customWidth="1"/>
    <col min="5129" max="5129" width="10.85546875" style="1" customWidth="1"/>
    <col min="5130" max="5130" width="10.42578125" style="1" customWidth="1"/>
    <col min="5131" max="5131" width="8" style="1" customWidth="1"/>
    <col min="5132" max="5132" width="8.85546875" style="1" customWidth="1"/>
    <col min="5133" max="5133" width="23" style="1" customWidth="1"/>
    <col min="5134" max="5134" width="13.5703125" style="1" customWidth="1"/>
    <col min="5135" max="5135" width="9.140625" style="1"/>
    <col min="5136" max="5136" width="13.7109375" style="1" customWidth="1"/>
    <col min="5137" max="5376" width="9.140625" style="1"/>
    <col min="5377" max="5377" width="5.42578125" style="1" customWidth="1"/>
    <col min="5378" max="5378" width="5.85546875" style="1" customWidth="1"/>
    <col min="5379" max="5379" width="4" style="1" customWidth="1"/>
    <col min="5380" max="5380" width="5.140625" style="1" customWidth="1"/>
    <col min="5381" max="5381" width="6" style="1" customWidth="1"/>
    <col min="5382" max="5382" width="8.5703125" style="1" customWidth="1"/>
    <col min="5383" max="5383" width="8.28515625" style="1" customWidth="1"/>
    <col min="5384" max="5384" width="7.85546875" style="1" customWidth="1"/>
    <col min="5385" max="5385" width="10.85546875" style="1" customWidth="1"/>
    <col min="5386" max="5386" width="10.42578125" style="1" customWidth="1"/>
    <col min="5387" max="5387" width="8" style="1" customWidth="1"/>
    <col min="5388" max="5388" width="8.85546875" style="1" customWidth="1"/>
    <col min="5389" max="5389" width="23" style="1" customWidth="1"/>
    <col min="5390" max="5390" width="13.5703125" style="1" customWidth="1"/>
    <col min="5391" max="5391" width="9.140625" style="1"/>
    <col min="5392" max="5392" width="13.7109375" style="1" customWidth="1"/>
    <col min="5393" max="5632" width="9.140625" style="1"/>
    <col min="5633" max="5633" width="5.42578125" style="1" customWidth="1"/>
    <col min="5634" max="5634" width="5.85546875" style="1" customWidth="1"/>
    <col min="5635" max="5635" width="4" style="1" customWidth="1"/>
    <col min="5636" max="5636" width="5.140625" style="1" customWidth="1"/>
    <col min="5637" max="5637" width="6" style="1" customWidth="1"/>
    <col min="5638" max="5638" width="8.5703125" style="1" customWidth="1"/>
    <col min="5639" max="5639" width="8.28515625" style="1" customWidth="1"/>
    <col min="5640" max="5640" width="7.85546875" style="1" customWidth="1"/>
    <col min="5641" max="5641" width="10.85546875" style="1" customWidth="1"/>
    <col min="5642" max="5642" width="10.42578125" style="1" customWidth="1"/>
    <col min="5643" max="5643" width="8" style="1" customWidth="1"/>
    <col min="5644" max="5644" width="8.85546875" style="1" customWidth="1"/>
    <col min="5645" max="5645" width="23" style="1" customWidth="1"/>
    <col min="5646" max="5646" width="13.5703125" style="1" customWidth="1"/>
    <col min="5647" max="5647" width="9.140625" style="1"/>
    <col min="5648" max="5648" width="13.7109375" style="1" customWidth="1"/>
    <col min="5649" max="5888" width="9.140625" style="1"/>
    <col min="5889" max="5889" width="5.42578125" style="1" customWidth="1"/>
    <col min="5890" max="5890" width="5.85546875" style="1" customWidth="1"/>
    <col min="5891" max="5891" width="4" style="1" customWidth="1"/>
    <col min="5892" max="5892" width="5.140625" style="1" customWidth="1"/>
    <col min="5893" max="5893" width="6" style="1" customWidth="1"/>
    <col min="5894" max="5894" width="8.5703125" style="1" customWidth="1"/>
    <col min="5895" max="5895" width="8.28515625" style="1" customWidth="1"/>
    <col min="5896" max="5896" width="7.85546875" style="1" customWidth="1"/>
    <col min="5897" max="5897" width="10.85546875" style="1" customWidth="1"/>
    <col min="5898" max="5898" width="10.42578125" style="1" customWidth="1"/>
    <col min="5899" max="5899" width="8" style="1" customWidth="1"/>
    <col min="5900" max="5900" width="8.85546875" style="1" customWidth="1"/>
    <col min="5901" max="5901" width="23" style="1" customWidth="1"/>
    <col min="5902" max="5902" width="13.5703125" style="1" customWidth="1"/>
    <col min="5903" max="5903" width="9.140625" style="1"/>
    <col min="5904" max="5904" width="13.7109375" style="1" customWidth="1"/>
    <col min="5905" max="6144" width="9.140625" style="1"/>
    <col min="6145" max="6145" width="5.42578125" style="1" customWidth="1"/>
    <col min="6146" max="6146" width="5.85546875" style="1" customWidth="1"/>
    <col min="6147" max="6147" width="4" style="1" customWidth="1"/>
    <col min="6148" max="6148" width="5.140625" style="1" customWidth="1"/>
    <col min="6149" max="6149" width="6" style="1" customWidth="1"/>
    <col min="6150" max="6150" width="8.5703125" style="1" customWidth="1"/>
    <col min="6151" max="6151" width="8.28515625" style="1" customWidth="1"/>
    <col min="6152" max="6152" width="7.85546875" style="1" customWidth="1"/>
    <col min="6153" max="6153" width="10.85546875" style="1" customWidth="1"/>
    <col min="6154" max="6154" width="10.42578125" style="1" customWidth="1"/>
    <col min="6155" max="6155" width="8" style="1" customWidth="1"/>
    <col min="6156" max="6156" width="8.85546875" style="1" customWidth="1"/>
    <col min="6157" max="6157" width="23" style="1" customWidth="1"/>
    <col min="6158" max="6158" width="13.5703125" style="1" customWidth="1"/>
    <col min="6159" max="6159" width="9.140625" style="1"/>
    <col min="6160" max="6160" width="13.7109375" style="1" customWidth="1"/>
    <col min="6161" max="6400" width="9.140625" style="1"/>
    <col min="6401" max="6401" width="5.42578125" style="1" customWidth="1"/>
    <col min="6402" max="6402" width="5.85546875" style="1" customWidth="1"/>
    <col min="6403" max="6403" width="4" style="1" customWidth="1"/>
    <col min="6404" max="6404" width="5.140625" style="1" customWidth="1"/>
    <col min="6405" max="6405" width="6" style="1" customWidth="1"/>
    <col min="6406" max="6406" width="8.5703125" style="1" customWidth="1"/>
    <col min="6407" max="6407" width="8.28515625" style="1" customWidth="1"/>
    <col min="6408" max="6408" width="7.85546875" style="1" customWidth="1"/>
    <col min="6409" max="6409" width="10.85546875" style="1" customWidth="1"/>
    <col min="6410" max="6410" width="10.42578125" style="1" customWidth="1"/>
    <col min="6411" max="6411" width="8" style="1" customWidth="1"/>
    <col min="6412" max="6412" width="8.85546875" style="1" customWidth="1"/>
    <col min="6413" max="6413" width="23" style="1" customWidth="1"/>
    <col min="6414" max="6414" width="13.5703125" style="1" customWidth="1"/>
    <col min="6415" max="6415" width="9.140625" style="1"/>
    <col min="6416" max="6416" width="13.7109375" style="1" customWidth="1"/>
    <col min="6417" max="6656" width="9.140625" style="1"/>
    <col min="6657" max="6657" width="5.42578125" style="1" customWidth="1"/>
    <col min="6658" max="6658" width="5.85546875" style="1" customWidth="1"/>
    <col min="6659" max="6659" width="4" style="1" customWidth="1"/>
    <col min="6660" max="6660" width="5.140625" style="1" customWidth="1"/>
    <col min="6661" max="6661" width="6" style="1" customWidth="1"/>
    <col min="6662" max="6662" width="8.5703125" style="1" customWidth="1"/>
    <col min="6663" max="6663" width="8.28515625" style="1" customWidth="1"/>
    <col min="6664" max="6664" width="7.85546875" style="1" customWidth="1"/>
    <col min="6665" max="6665" width="10.85546875" style="1" customWidth="1"/>
    <col min="6666" max="6666" width="10.42578125" style="1" customWidth="1"/>
    <col min="6667" max="6667" width="8" style="1" customWidth="1"/>
    <col min="6668" max="6668" width="8.85546875" style="1" customWidth="1"/>
    <col min="6669" max="6669" width="23" style="1" customWidth="1"/>
    <col min="6670" max="6670" width="13.5703125" style="1" customWidth="1"/>
    <col min="6671" max="6671" width="9.140625" style="1"/>
    <col min="6672" max="6672" width="13.7109375" style="1" customWidth="1"/>
    <col min="6673" max="6912" width="9.140625" style="1"/>
    <col min="6913" max="6913" width="5.42578125" style="1" customWidth="1"/>
    <col min="6914" max="6914" width="5.85546875" style="1" customWidth="1"/>
    <col min="6915" max="6915" width="4" style="1" customWidth="1"/>
    <col min="6916" max="6916" width="5.140625" style="1" customWidth="1"/>
    <col min="6917" max="6917" width="6" style="1" customWidth="1"/>
    <col min="6918" max="6918" width="8.5703125" style="1" customWidth="1"/>
    <col min="6919" max="6919" width="8.28515625" style="1" customWidth="1"/>
    <col min="6920" max="6920" width="7.85546875" style="1" customWidth="1"/>
    <col min="6921" max="6921" width="10.85546875" style="1" customWidth="1"/>
    <col min="6922" max="6922" width="10.42578125" style="1" customWidth="1"/>
    <col min="6923" max="6923" width="8" style="1" customWidth="1"/>
    <col min="6924" max="6924" width="8.85546875" style="1" customWidth="1"/>
    <col min="6925" max="6925" width="23" style="1" customWidth="1"/>
    <col min="6926" max="6926" width="13.5703125" style="1" customWidth="1"/>
    <col min="6927" max="6927" width="9.140625" style="1"/>
    <col min="6928" max="6928" width="13.7109375" style="1" customWidth="1"/>
    <col min="6929" max="7168" width="9.140625" style="1"/>
    <col min="7169" max="7169" width="5.42578125" style="1" customWidth="1"/>
    <col min="7170" max="7170" width="5.85546875" style="1" customWidth="1"/>
    <col min="7171" max="7171" width="4" style="1" customWidth="1"/>
    <col min="7172" max="7172" width="5.140625" style="1" customWidth="1"/>
    <col min="7173" max="7173" width="6" style="1" customWidth="1"/>
    <col min="7174" max="7174" width="8.5703125" style="1" customWidth="1"/>
    <col min="7175" max="7175" width="8.28515625" style="1" customWidth="1"/>
    <col min="7176" max="7176" width="7.85546875" style="1" customWidth="1"/>
    <col min="7177" max="7177" width="10.85546875" style="1" customWidth="1"/>
    <col min="7178" max="7178" width="10.42578125" style="1" customWidth="1"/>
    <col min="7179" max="7179" width="8" style="1" customWidth="1"/>
    <col min="7180" max="7180" width="8.85546875" style="1" customWidth="1"/>
    <col min="7181" max="7181" width="23" style="1" customWidth="1"/>
    <col min="7182" max="7182" width="13.5703125" style="1" customWidth="1"/>
    <col min="7183" max="7183" width="9.140625" style="1"/>
    <col min="7184" max="7184" width="13.7109375" style="1" customWidth="1"/>
    <col min="7185" max="7424" width="9.140625" style="1"/>
    <col min="7425" max="7425" width="5.42578125" style="1" customWidth="1"/>
    <col min="7426" max="7426" width="5.85546875" style="1" customWidth="1"/>
    <col min="7427" max="7427" width="4" style="1" customWidth="1"/>
    <col min="7428" max="7428" width="5.140625" style="1" customWidth="1"/>
    <col min="7429" max="7429" width="6" style="1" customWidth="1"/>
    <col min="7430" max="7430" width="8.5703125" style="1" customWidth="1"/>
    <col min="7431" max="7431" width="8.28515625" style="1" customWidth="1"/>
    <col min="7432" max="7432" width="7.85546875" style="1" customWidth="1"/>
    <col min="7433" max="7433" width="10.85546875" style="1" customWidth="1"/>
    <col min="7434" max="7434" width="10.42578125" style="1" customWidth="1"/>
    <col min="7435" max="7435" width="8" style="1" customWidth="1"/>
    <col min="7436" max="7436" width="8.85546875" style="1" customWidth="1"/>
    <col min="7437" max="7437" width="23" style="1" customWidth="1"/>
    <col min="7438" max="7438" width="13.5703125" style="1" customWidth="1"/>
    <col min="7439" max="7439" width="9.140625" style="1"/>
    <col min="7440" max="7440" width="13.7109375" style="1" customWidth="1"/>
    <col min="7441" max="7680" width="9.140625" style="1"/>
    <col min="7681" max="7681" width="5.42578125" style="1" customWidth="1"/>
    <col min="7682" max="7682" width="5.85546875" style="1" customWidth="1"/>
    <col min="7683" max="7683" width="4" style="1" customWidth="1"/>
    <col min="7684" max="7684" width="5.140625" style="1" customWidth="1"/>
    <col min="7685" max="7685" width="6" style="1" customWidth="1"/>
    <col min="7686" max="7686" width="8.5703125" style="1" customWidth="1"/>
    <col min="7687" max="7687" width="8.28515625" style="1" customWidth="1"/>
    <col min="7688" max="7688" width="7.85546875" style="1" customWidth="1"/>
    <col min="7689" max="7689" width="10.85546875" style="1" customWidth="1"/>
    <col min="7690" max="7690" width="10.42578125" style="1" customWidth="1"/>
    <col min="7691" max="7691" width="8" style="1" customWidth="1"/>
    <col min="7692" max="7692" width="8.85546875" style="1" customWidth="1"/>
    <col min="7693" max="7693" width="23" style="1" customWidth="1"/>
    <col min="7694" max="7694" width="13.5703125" style="1" customWidth="1"/>
    <col min="7695" max="7695" width="9.140625" style="1"/>
    <col min="7696" max="7696" width="13.7109375" style="1" customWidth="1"/>
    <col min="7697" max="7936" width="9.140625" style="1"/>
    <col min="7937" max="7937" width="5.42578125" style="1" customWidth="1"/>
    <col min="7938" max="7938" width="5.85546875" style="1" customWidth="1"/>
    <col min="7939" max="7939" width="4" style="1" customWidth="1"/>
    <col min="7940" max="7940" width="5.140625" style="1" customWidth="1"/>
    <col min="7941" max="7941" width="6" style="1" customWidth="1"/>
    <col min="7942" max="7942" width="8.5703125" style="1" customWidth="1"/>
    <col min="7943" max="7943" width="8.28515625" style="1" customWidth="1"/>
    <col min="7944" max="7944" width="7.85546875" style="1" customWidth="1"/>
    <col min="7945" max="7945" width="10.85546875" style="1" customWidth="1"/>
    <col min="7946" max="7946" width="10.42578125" style="1" customWidth="1"/>
    <col min="7947" max="7947" width="8" style="1" customWidth="1"/>
    <col min="7948" max="7948" width="8.85546875" style="1" customWidth="1"/>
    <col min="7949" max="7949" width="23" style="1" customWidth="1"/>
    <col min="7950" max="7950" width="13.5703125" style="1" customWidth="1"/>
    <col min="7951" max="7951" width="9.140625" style="1"/>
    <col min="7952" max="7952" width="13.7109375" style="1" customWidth="1"/>
    <col min="7953" max="8192" width="9.140625" style="1"/>
    <col min="8193" max="8193" width="5.42578125" style="1" customWidth="1"/>
    <col min="8194" max="8194" width="5.85546875" style="1" customWidth="1"/>
    <col min="8195" max="8195" width="4" style="1" customWidth="1"/>
    <col min="8196" max="8196" width="5.140625" style="1" customWidth="1"/>
    <col min="8197" max="8197" width="6" style="1" customWidth="1"/>
    <col min="8198" max="8198" width="8.5703125" style="1" customWidth="1"/>
    <col min="8199" max="8199" width="8.28515625" style="1" customWidth="1"/>
    <col min="8200" max="8200" width="7.85546875" style="1" customWidth="1"/>
    <col min="8201" max="8201" width="10.85546875" style="1" customWidth="1"/>
    <col min="8202" max="8202" width="10.42578125" style="1" customWidth="1"/>
    <col min="8203" max="8203" width="8" style="1" customWidth="1"/>
    <col min="8204" max="8204" width="8.85546875" style="1" customWidth="1"/>
    <col min="8205" max="8205" width="23" style="1" customWidth="1"/>
    <col min="8206" max="8206" width="13.5703125" style="1" customWidth="1"/>
    <col min="8207" max="8207" width="9.140625" style="1"/>
    <col min="8208" max="8208" width="13.7109375" style="1" customWidth="1"/>
    <col min="8209" max="8448" width="9.140625" style="1"/>
    <col min="8449" max="8449" width="5.42578125" style="1" customWidth="1"/>
    <col min="8450" max="8450" width="5.85546875" style="1" customWidth="1"/>
    <col min="8451" max="8451" width="4" style="1" customWidth="1"/>
    <col min="8452" max="8452" width="5.140625" style="1" customWidth="1"/>
    <col min="8453" max="8453" width="6" style="1" customWidth="1"/>
    <col min="8454" max="8454" width="8.5703125" style="1" customWidth="1"/>
    <col min="8455" max="8455" width="8.28515625" style="1" customWidth="1"/>
    <col min="8456" max="8456" width="7.85546875" style="1" customWidth="1"/>
    <col min="8457" max="8457" width="10.85546875" style="1" customWidth="1"/>
    <col min="8458" max="8458" width="10.42578125" style="1" customWidth="1"/>
    <col min="8459" max="8459" width="8" style="1" customWidth="1"/>
    <col min="8460" max="8460" width="8.85546875" style="1" customWidth="1"/>
    <col min="8461" max="8461" width="23" style="1" customWidth="1"/>
    <col min="8462" max="8462" width="13.5703125" style="1" customWidth="1"/>
    <col min="8463" max="8463" width="9.140625" style="1"/>
    <col min="8464" max="8464" width="13.7109375" style="1" customWidth="1"/>
    <col min="8465" max="8704" width="9.140625" style="1"/>
    <col min="8705" max="8705" width="5.42578125" style="1" customWidth="1"/>
    <col min="8706" max="8706" width="5.85546875" style="1" customWidth="1"/>
    <col min="8707" max="8707" width="4" style="1" customWidth="1"/>
    <col min="8708" max="8708" width="5.140625" style="1" customWidth="1"/>
    <col min="8709" max="8709" width="6" style="1" customWidth="1"/>
    <col min="8710" max="8710" width="8.5703125" style="1" customWidth="1"/>
    <col min="8711" max="8711" width="8.28515625" style="1" customWidth="1"/>
    <col min="8712" max="8712" width="7.85546875" style="1" customWidth="1"/>
    <col min="8713" max="8713" width="10.85546875" style="1" customWidth="1"/>
    <col min="8714" max="8714" width="10.42578125" style="1" customWidth="1"/>
    <col min="8715" max="8715" width="8" style="1" customWidth="1"/>
    <col min="8716" max="8716" width="8.85546875" style="1" customWidth="1"/>
    <col min="8717" max="8717" width="23" style="1" customWidth="1"/>
    <col min="8718" max="8718" width="13.5703125" style="1" customWidth="1"/>
    <col min="8719" max="8719" width="9.140625" style="1"/>
    <col min="8720" max="8720" width="13.7109375" style="1" customWidth="1"/>
    <col min="8721" max="8960" width="9.140625" style="1"/>
    <col min="8961" max="8961" width="5.42578125" style="1" customWidth="1"/>
    <col min="8962" max="8962" width="5.85546875" style="1" customWidth="1"/>
    <col min="8963" max="8963" width="4" style="1" customWidth="1"/>
    <col min="8964" max="8964" width="5.140625" style="1" customWidth="1"/>
    <col min="8965" max="8965" width="6" style="1" customWidth="1"/>
    <col min="8966" max="8966" width="8.5703125" style="1" customWidth="1"/>
    <col min="8967" max="8967" width="8.28515625" style="1" customWidth="1"/>
    <col min="8968" max="8968" width="7.85546875" style="1" customWidth="1"/>
    <col min="8969" max="8969" width="10.85546875" style="1" customWidth="1"/>
    <col min="8970" max="8970" width="10.42578125" style="1" customWidth="1"/>
    <col min="8971" max="8971" width="8" style="1" customWidth="1"/>
    <col min="8972" max="8972" width="8.85546875" style="1" customWidth="1"/>
    <col min="8973" max="8973" width="23" style="1" customWidth="1"/>
    <col min="8974" max="8974" width="13.5703125" style="1" customWidth="1"/>
    <col min="8975" max="8975" width="9.140625" style="1"/>
    <col min="8976" max="8976" width="13.7109375" style="1" customWidth="1"/>
    <col min="8977" max="9216" width="9.140625" style="1"/>
    <col min="9217" max="9217" width="5.42578125" style="1" customWidth="1"/>
    <col min="9218" max="9218" width="5.85546875" style="1" customWidth="1"/>
    <col min="9219" max="9219" width="4" style="1" customWidth="1"/>
    <col min="9220" max="9220" width="5.140625" style="1" customWidth="1"/>
    <col min="9221" max="9221" width="6" style="1" customWidth="1"/>
    <col min="9222" max="9222" width="8.5703125" style="1" customWidth="1"/>
    <col min="9223" max="9223" width="8.28515625" style="1" customWidth="1"/>
    <col min="9224" max="9224" width="7.85546875" style="1" customWidth="1"/>
    <col min="9225" max="9225" width="10.85546875" style="1" customWidth="1"/>
    <col min="9226" max="9226" width="10.42578125" style="1" customWidth="1"/>
    <col min="9227" max="9227" width="8" style="1" customWidth="1"/>
    <col min="9228" max="9228" width="8.85546875" style="1" customWidth="1"/>
    <col min="9229" max="9229" width="23" style="1" customWidth="1"/>
    <col min="9230" max="9230" width="13.5703125" style="1" customWidth="1"/>
    <col min="9231" max="9231" width="9.140625" style="1"/>
    <col min="9232" max="9232" width="13.7109375" style="1" customWidth="1"/>
    <col min="9233" max="9472" width="9.140625" style="1"/>
    <col min="9473" max="9473" width="5.42578125" style="1" customWidth="1"/>
    <col min="9474" max="9474" width="5.85546875" style="1" customWidth="1"/>
    <col min="9475" max="9475" width="4" style="1" customWidth="1"/>
    <col min="9476" max="9476" width="5.140625" style="1" customWidth="1"/>
    <col min="9477" max="9477" width="6" style="1" customWidth="1"/>
    <col min="9478" max="9478" width="8.5703125" style="1" customWidth="1"/>
    <col min="9479" max="9479" width="8.28515625" style="1" customWidth="1"/>
    <col min="9480" max="9480" width="7.85546875" style="1" customWidth="1"/>
    <col min="9481" max="9481" width="10.85546875" style="1" customWidth="1"/>
    <col min="9482" max="9482" width="10.42578125" style="1" customWidth="1"/>
    <col min="9483" max="9483" width="8" style="1" customWidth="1"/>
    <col min="9484" max="9484" width="8.85546875" style="1" customWidth="1"/>
    <col min="9485" max="9485" width="23" style="1" customWidth="1"/>
    <col min="9486" max="9486" width="13.5703125" style="1" customWidth="1"/>
    <col min="9487" max="9487" width="9.140625" style="1"/>
    <col min="9488" max="9488" width="13.7109375" style="1" customWidth="1"/>
    <col min="9489" max="9728" width="9.140625" style="1"/>
    <col min="9729" max="9729" width="5.42578125" style="1" customWidth="1"/>
    <col min="9730" max="9730" width="5.85546875" style="1" customWidth="1"/>
    <col min="9731" max="9731" width="4" style="1" customWidth="1"/>
    <col min="9732" max="9732" width="5.140625" style="1" customWidth="1"/>
    <col min="9733" max="9733" width="6" style="1" customWidth="1"/>
    <col min="9734" max="9734" width="8.5703125" style="1" customWidth="1"/>
    <col min="9735" max="9735" width="8.28515625" style="1" customWidth="1"/>
    <col min="9736" max="9736" width="7.85546875" style="1" customWidth="1"/>
    <col min="9737" max="9737" width="10.85546875" style="1" customWidth="1"/>
    <col min="9738" max="9738" width="10.42578125" style="1" customWidth="1"/>
    <col min="9739" max="9739" width="8" style="1" customWidth="1"/>
    <col min="9740" max="9740" width="8.85546875" style="1" customWidth="1"/>
    <col min="9741" max="9741" width="23" style="1" customWidth="1"/>
    <col min="9742" max="9742" width="13.5703125" style="1" customWidth="1"/>
    <col min="9743" max="9743" width="9.140625" style="1"/>
    <col min="9744" max="9744" width="13.7109375" style="1" customWidth="1"/>
    <col min="9745" max="9984" width="9.140625" style="1"/>
    <col min="9985" max="9985" width="5.42578125" style="1" customWidth="1"/>
    <col min="9986" max="9986" width="5.85546875" style="1" customWidth="1"/>
    <col min="9987" max="9987" width="4" style="1" customWidth="1"/>
    <col min="9988" max="9988" width="5.140625" style="1" customWidth="1"/>
    <col min="9989" max="9989" width="6" style="1" customWidth="1"/>
    <col min="9990" max="9990" width="8.5703125" style="1" customWidth="1"/>
    <col min="9991" max="9991" width="8.28515625" style="1" customWidth="1"/>
    <col min="9992" max="9992" width="7.85546875" style="1" customWidth="1"/>
    <col min="9993" max="9993" width="10.85546875" style="1" customWidth="1"/>
    <col min="9994" max="9994" width="10.42578125" style="1" customWidth="1"/>
    <col min="9995" max="9995" width="8" style="1" customWidth="1"/>
    <col min="9996" max="9996" width="8.85546875" style="1" customWidth="1"/>
    <col min="9997" max="9997" width="23" style="1" customWidth="1"/>
    <col min="9998" max="9998" width="13.5703125" style="1" customWidth="1"/>
    <col min="9999" max="9999" width="9.140625" style="1"/>
    <col min="10000" max="10000" width="13.7109375" style="1" customWidth="1"/>
    <col min="10001" max="10240" width="9.140625" style="1"/>
    <col min="10241" max="10241" width="5.42578125" style="1" customWidth="1"/>
    <col min="10242" max="10242" width="5.85546875" style="1" customWidth="1"/>
    <col min="10243" max="10243" width="4" style="1" customWidth="1"/>
    <col min="10244" max="10244" width="5.140625" style="1" customWidth="1"/>
    <col min="10245" max="10245" width="6" style="1" customWidth="1"/>
    <col min="10246" max="10246" width="8.5703125" style="1" customWidth="1"/>
    <col min="10247" max="10247" width="8.28515625" style="1" customWidth="1"/>
    <col min="10248" max="10248" width="7.85546875" style="1" customWidth="1"/>
    <col min="10249" max="10249" width="10.85546875" style="1" customWidth="1"/>
    <col min="10250" max="10250" width="10.42578125" style="1" customWidth="1"/>
    <col min="10251" max="10251" width="8" style="1" customWidth="1"/>
    <col min="10252" max="10252" width="8.85546875" style="1" customWidth="1"/>
    <col min="10253" max="10253" width="23" style="1" customWidth="1"/>
    <col min="10254" max="10254" width="13.5703125" style="1" customWidth="1"/>
    <col min="10255" max="10255" width="9.140625" style="1"/>
    <col min="10256" max="10256" width="13.7109375" style="1" customWidth="1"/>
    <col min="10257" max="10496" width="9.140625" style="1"/>
    <col min="10497" max="10497" width="5.42578125" style="1" customWidth="1"/>
    <col min="10498" max="10498" width="5.85546875" style="1" customWidth="1"/>
    <col min="10499" max="10499" width="4" style="1" customWidth="1"/>
    <col min="10500" max="10500" width="5.140625" style="1" customWidth="1"/>
    <col min="10501" max="10501" width="6" style="1" customWidth="1"/>
    <col min="10502" max="10502" width="8.5703125" style="1" customWidth="1"/>
    <col min="10503" max="10503" width="8.28515625" style="1" customWidth="1"/>
    <col min="10504" max="10504" width="7.85546875" style="1" customWidth="1"/>
    <col min="10505" max="10505" width="10.85546875" style="1" customWidth="1"/>
    <col min="10506" max="10506" width="10.42578125" style="1" customWidth="1"/>
    <col min="10507" max="10507" width="8" style="1" customWidth="1"/>
    <col min="10508" max="10508" width="8.85546875" style="1" customWidth="1"/>
    <col min="10509" max="10509" width="23" style="1" customWidth="1"/>
    <col min="10510" max="10510" width="13.5703125" style="1" customWidth="1"/>
    <col min="10511" max="10511" width="9.140625" style="1"/>
    <col min="10512" max="10512" width="13.7109375" style="1" customWidth="1"/>
    <col min="10513" max="10752" width="9.140625" style="1"/>
    <col min="10753" max="10753" width="5.42578125" style="1" customWidth="1"/>
    <col min="10754" max="10754" width="5.85546875" style="1" customWidth="1"/>
    <col min="10755" max="10755" width="4" style="1" customWidth="1"/>
    <col min="10756" max="10756" width="5.140625" style="1" customWidth="1"/>
    <col min="10757" max="10757" width="6" style="1" customWidth="1"/>
    <col min="10758" max="10758" width="8.5703125" style="1" customWidth="1"/>
    <col min="10759" max="10759" width="8.28515625" style="1" customWidth="1"/>
    <col min="10760" max="10760" width="7.85546875" style="1" customWidth="1"/>
    <col min="10761" max="10761" width="10.85546875" style="1" customWidth="1"/>
    <col min="10762" max="10762" width="10.42578125" style="1" customWidth="1"/>
    <col min="10763" max="10763" width="8" style="1" customWidth="1"/>
    <col min="10764" max="10764" width="8.85546875" style="1" customWidth="1"/>
    <col min="10765" max="10765" width="23" style="1" customWidth="1"/>
    <col min="10766" max="10766" width="13.5703125" style="1" customWidth="1"/>
    <col min="10767" max="10767" width="9.140625" style="1"/>
    <col min="10768" max="10768" width="13.7109375" style="1" customWidth="1"/>
    <col min="10769" max="11008" width="9.140625" style="1"/>
    <col min="11009" max="11009" width="5.42578125" style="1" customWidth="1"/>
    <col min="11010" max="11010" width="5.85546875" style="1" customWidth="1"/>
    <col min="11011" max="11011" width="4" style="1" customWidth="1"/>
    <col min="11012" max="11012" width="5.140625" style="1" customWidth="1"/>
    <col min="11013" max="11013" width="6" style="1" customWidth="1"/>
    <col min="11014" max="11014" width="8.5703125" style="1" customWidth="1"/>
    <col min="11015" max="11015" width="8.28515625" style="1" customWidth="1"/>
    <col min="11016" max="11016" width="7.85546875" style="1" customWidth="1"/>
    <col min="11017" max="11017" width="10.85546875" style="1" customWidth="1"/>
    <col min="11018" max="11018" width="10.42578125" style="1" customWidth="1"/>
    <col min="11019" max="11019" width="8" style="1" customWidth="1"/>
    <col min="11020" max="11020" width="8.85546875" style="1" customWidth="1"/>
    <col min="11021" max="11021" width="23" style="1" customWidth="1"/>
    <col min="11022" max="11022" width="13.5703125" style="1" customWidth="1"/>
    <col min="11023" max="11023" width="9.140625" style="1"/>
    <col min="11024" max="11024" width="13.7109375" style="1" customWidth="1"/>
    <col min="11025" max="11264" width="9.140625" style="1"/>
    <col min="11265" max="11265" width="5.42578125" style="1" customWidth="1"/>
    <col min="11266" max="11266" width="5.85546875" style="1" customWidth="1"/>
    <col min="11267" max="11267" width="4" style="1" customWidth="1"/>
    <col min="11268" max="11268" width="5.140625" style="1" customWidth="1"/>
    <col min="11269" max="11269" width="6" style="1" customWidth="1"/>
    <col min="11270" max="11270" width="8.5703125" style="1" customWidth="1"/>
    <col min="11271" max="11271" width="8.28515625" style="1" customWidth="1"/>
    <col min="11272" max="11272" width="7.85546875" style="1" customWidth="1"/>
    <col min="11273" max="11273" width="10.85546875" style="1" customWidth="1"/>
    <col min="11274" max="11274" width="10.42578125" style="1" customWidth="1"/>
    <col min="11275" max="11275" width="8" style="1" customWidth="1"/>
    <col min="11276" max="11276" width="8.85546875" style="1" customWidth="1"/>
    <col min="11277" max="11277" width="23" style="1" customWidth="1"/>
    <col min="11278" max="11278" width="13.5703125" style="1" customWidth="1"/>
    <col min="11279" max="11279" width="9.140625" style="1"/>
    <col min="11280" max="11280" width="13.7109375" style="1" customWidth="1"/>
    <col min="11281" max="11520" width="9.140625" style="1"/>
    <col min="11521" max="11521" width="5.42578125" style="1" customWidth="1"/>
    <col min="11522" max="11522" width="5.85546875" style="1" customWidth="1"/>
    <col min="11523" max="11523" width="4" style="1" customWidth="1"/>
    <col min="11524" max="11524" width="5.140625" style="1" customWidth="1"/>
    <col min="11525" max="11525" width="6" style="1" customWidth="1"/>
    <col min="11526" max="11526" width="8.5703125" style="1" customWidth="1"/>
    <col min="11527" max="11527" width="8.28515625" style="1" customWidth="1"/>
    <col min="11528" max="11528" width="7.85546875" style="1" customWidth="1"/>
    <col min="11529" max="11529" width="10.85546875" style="1" customWidth="1"/>
    <col min="11530" max="11530" width="10.42578125" style="1" customWidth="1"/>
    <col min="11531" max="11531" width="8" style="1" customWidth="1"/>
    <col min="11532" max="11532" width="8.85546875" style="1" customWidth="1"/>
    <col min="11533" max="11533" width="23" style="1" customWidth="1"/>
    <col min="11534" max="11534" width="13.5703125" style="1" customWidth="1"/>
    <col min="11535" max="11535" width="9.140625" style="1"/>
    <col min="11536" max="11536" width="13.7109375" style="1" customWidth="1"/>
    <col min="11537" max="11776" width="9.140625" style="1"/>
    <col min="11777" max="11777" width="5.42578125" style="1" customWidth="1"/>
    <col min="11778" max="11778" width="5.85546875" style="1" customWidth="1"/>
    <col min="11779" max="11779" width="4" style="1" customWidth="1"/>
    <col min="11780" max="11780" width="5.140625" style="1" customWidth="1"/>
    <col min="11781" max="11781" width="6" style="1" customWidth="1"/>
    <col min="11782" max="11782" width="8.5703125" style="1" customWidth="1"/>
    <col min="11783" max="11783" width="8.28515625" style="1" customWidth="1"/>
    <col min="11784" max="11784" width="7.85546875" style="1" customWidth="1"/>
    <col min="11785" max="11785" width="10.85546875" style="1" customWidth="1"/>
    <col min="11786" max="11786" width="10.42578125" style="1" customWidth="1"/>
    <col min="11787" max="11787" width="8" style="1" customWidth="1"/>
    <col min="11788" max="11788" width="8.85546875" style="1" customWidth="1"/>
    <col min="11789" max="11789" width="23" style="1" customWidth="1"/>
    <col min="11790" max="11790" width="13.5703125" style="1" customWidth="1"/>
    <col min="11791" max="11791" width="9.140625" style="1"/>
    <col min="11792" max="11792" width="13.7109375" style="1" customWidth="1"/>
    <col min="11793" max="12032" width="9.140625" style="1"/>
    <col min="12033" max="12033" width="5.42578125" style="1" customWidth="1"/>
    <col min="12034" max="12034" width="5.85546875" style="1" customWidth="1"/>
    <col min="12035" max="12035" width="4" style="1" customWidth="1"/>
    <col min="12036" max="12036" width="5.140625" style="1" customWidth="1"/>
    <col min="12037" max="12037" width="6" style="1" customWidth="1"/>
    <col min="12038" max="12038" width="8.5703125" style="1" customWidth="1"/>
    <col min="12039" max="12039" width="8.28515625" style="1" customWidth="1"/>
    <col min="12040" max="12040" width="7.85546875" style="1" customWidth="1"/>
    <col min="12041" max="12041" width="10.85546875" style="1" customWidth="1"/>
    <col min="12042" max="12042" width="10.42578125" style="1" customWidth="1"/>
    <col min="12043" max="12043" width="8" style="1" customWidth="1"/>
    <col min="12044" max="12044" width="8.85546875" style="1" customWidth="1"/>
    <col min="12045" max="12045" width="23" style="1" customWidth="1"/>
    <col min="12046" max="12046" width="13.5703125" style="1" customWidth="1"/>
    <col min="12047" max="12047" width="9.140625" style="1"/>
    <col min="12048" max="12048" width="13.7109375" style="1" customWidth="1"/>
    <col min="12049" max="12288" width="9.140625" style="1"/>
    <col min="12289" max="12289" width="5.42578125" style="1" customWidth="1"/>
    <col min="12290" max="12290" width="5.85546875" style="1" customWidth="1"/>
    <col min="12291" max="12291" width="4" style="1" customWidth="1"/>
    <col min="12292" max="12292" width="5.140625" style="1" customWidth="1"/>
    <col min="12293" max="12293" width="6" style="1" customWidth="1"/>
    <col min="12294" max="12294" width="8.5703125" style="1" customWidth="1"/>
    <col min="12295" max="12295" width="8.28515625" style="1" customWidth="1"/>
    <col min="12296" max="12296" width="7.85546875" style="1" customWidth="1"/>
    <col min="12297" max="12297" width="10.85546875" style="1" customWidth="1"/>
    <col min="12298" max="12298" width="10.42578125" style="1" customWidth="1"/>
    <col min="12299" max="12299" width="8" style="1" customWidth="1"/>
    <col min="12300" max="12300" width="8.85546875" style="1" customWidth="1"/>
    <col min="12301" max="12301" width="23" style="1" customWidth="1"/>
    <col min="12302" max="12302" width="13.5703125" style="1" customWidth="1"/>
    <col min="12303" max="12303" width="9.140625" style="1"/>
    <col min="12304" max="12304" width="13.7109375" style="1" customWidth="1"/>
    <col min="12305" max="12544" width="9.140625" style="1"/>
    <col min="12545" max="12545" width="5.42578125" style="1" customWidth="1"/>
    <col min="12546" max="12546" width="5.85546875" style="1" customWidth="1"/>
    <col min="12547" max="12547" width="4" style="1" customWidth="1"/>
    <col min="12548" max="12548" width="5.140625" style="1" customWidth="1"/>
    <col min="12549" max="12549" width="6" style="1" customWidth="1"/>
    <col min="12550" max="12550" width="8.5703125" style="1" customWidth="1"/>
    <col min="12551" max="12551" width="8.28515625" style="1" customWidth="1"/>
    <col min="12552" max="12552" width="7.85546875" style="1" customWidth="1"/>
    <col min="12553" max="12553" width="10.85546875" style="1" customWidth="1"/>
    <col min="12554" max="12554" width="10.42578125" style="1" customWidth="1"/>
    <col min="12555" max="12555" width="8" style="1" customWidth="1"/>
    <col min="12556" max="12556" width="8.85546875" style="1" customWidth="1"/>
    <col min="12557" max="12557" width="23" style="1" customWidth="1"/>
    <col min="12558" max="12558" width="13.5703125" style="1" customWidth="1"/>
    <col min="12559" max="12559" width="9.140625" style="1"/>
    <col min="12560" max="12560" width="13.7109375" style="1" customWidth="1"/>
    <col min="12561" max="12800" width="9.140625" style="1"/>
    <col min="12801" max="12801" width="5.42578125" style="1" customWidth="1"/>
    <col min="12802" max="12802" width="5.85546875" style="1" customWidth="1"/>
    <col min="12803" max="12803" width="4" style="1" customWidth="1"/>
    <col min="12804" max="12804" width="5.140625" style="1" customWidth="1"/>
    <col min="12805" max="12805" width="6" style="1" customWidth="1"/>
    <col min="12806" max="12806" width="8.5703125" style="1" customWidth="1"/>
    <col min="12807" max="12807" width="8.28515625" style="1" customWidth="1"/>
    <col min="12808" max="12808" width="7.85546875" style="1" customWidth="1"/>
    <col min="12809" max="12809" width="10.85546875" style="1" customWidth="1"/>
    <col min="12810" max="12810" width="10.42578125" style="1" customWidth="1"/>
    <col min="12811" max="12811" width="8" style="1" customWidth="1"/>
    <col min="12812" max="12812" width="8.85546875" style="1" customWidth="1"/>
    <col min="12813" max="12813" width="23" style="1" customWidth="1"/>
    <col min="12814" max="12814" width="13.5703125" style="1" customWidth="1"/>
    <col min="12815" max="12815" width="9.140625" style="1"/>
    <col min="12816" max="12816" width="13.7109375" style="1" customWidth="1"/>
    <col min="12817" max="13056" width="9.140625" style="1"/>
    <col min="13057" max="13057" width="5.42578125" style="1" customWidth="1"/>
    <col min="13058" max="13058" width="5.85546875" style="1" customWidth="1"/>
    <col min="13059" max="13059" width="4" style="1" customWidth="1"/>
    <col min="13060" max="13060" width="5.140625" style="1" customWidth="1"/>
    <col min="13061" max="13061" width="6" style="1" customWidth="1"/>
    <col min="13062" max="13062" width="8.5703125" style="1" customWidth="1"/>
    <col min="13063" max="13063" width="8.28515625" style="1" customWidth="1"/>
    <col min="13064" max="13064" width="7.85546875" style="1" customWidth="1"/>
    <col min="13065" max="13065" width="10.85546875" style="1" customWidth="1"/>
    <col min="13066" max="13066" width="10.42578125" style="1" customWidth="1"/>
    <col min="13067" max="13067" width="8" style="1" customWidth="1"/>
    <col min="13068" max="13068" width="8.85546875" style="1" customWidth="1"/>
    <col min="13069" max="13069" width="23" style="1" customWidth="1"/>
    <col min="13070" max="13070" width="13.5703125" style="1" customWidth="1"/>
    <col min="13071" max="13071" width="9.140625" style="1"/>
    <col min="13072" max="13072" width="13.7109375" style="1" customWidth="1"/>
    <col min="13073" max="13312" width="9.140625" style="1"/>
    <col min="13313" max="13313" width="5.42578125" style="1" customWidth="1"/>
    <col min="13314" max="13314" width="5.85546875" style="1" customWidth="1"/>
    <col min="13315" max="13315" width="4" style="1" customWidth="1"/>
    <col min="13316" max="13316" width="5.140625" style="1" customWidth="1"/>
    <col min="13317" max="13317" width="6" style="1" customWidth="1"/>
    <col min="13318" max="13318" width="8.5703125" style="1" customWidth="1"/>
    <col min="13319" max="13319" width="8.28515625" style="1" customWidth="1"/>
    <col min="13320" max="13320" width="7.85546875" style="1" customWidth="1"/>
    <col min="13321" max="13321" width="10.85546875" style="1" customWidth="1"/>
    <col min="13322" max="13322" width="10.42578125" style="1" customWidth="1"/>
    <col min="13323" max="13323" width="8" style="1" customWidth="1"/>
    <col min="13324" max="13324" width="8.85546875" style="1" customWidth="1"/>
    <col min="13325" max="13325" width="23" style="1" customWidth="1"/>
    <col min="13326" max="13326" width="13.5703125" style="1" customWidth="1"/>
    <col min="13327" max="13327" width="9.140625" style="1"/>
    <col min="13328" max="13328" width="13.7109375" style="1" customWidth="1"/>
    <col min="13329" max="13568" width="9.140625" style="1"/>
    <col min="13569" max="13569" width="5.42578125" style="1" customWidth="1"/>
    <col min="13570" max="13570" width="5.85546875" style="1" customWidth="1"/>
    <col min="13571" max="13571" width="4" style="1" customWidth="1"/>
    <col min="13572" max="13572" width="5.140625" style="1" customWidth="1"/>
    <col min="13573" max="13573" width="6" style="1" customWidth="1"/>
    <col min="13574" max="13574" width="8.5703125" style="1" customWidth="1"/>
    <col min="13575" max="13575" width="8.28515625" style="1" customWidth="1"/>
    <col min="13576" max="13576" width="7.85546875" style="1" customWidth="1"/>
    <col min="13577" max="13577" width="10.85546875" style="1" customWidth="1"/>
    <col min="13578" max="13578" width="10.42578125" style="1" customWidth="1"/>
    <col min="13579" max="13579" width="8" style="1" customWidth="1"/>
    <col min="13580" max="13580" width="8.85546875" style="1" customWidth="1"/>
    <col min="13581" max="13581" width="23" style="1" customWidth="1"/>
    <col min="13582" max="13582" width="13.5703125" style="1" customWidth="1"/>
    <col min="13583" max="13583" width="9.140625" style="1"/>
    <col min="13584" max="13584" width="13.7109375" style="1" customWidth="1"/>
    <col min="13585" max="13824" width="9.140625" style="1"/>
    <col min="13825" max="13825" width="5.42578125" style="1" customWidth="1"/>
    <col min="13826" max="13826" width="5.85546875" style="1" customWidth="1"/>
    <col min="13827" max="13827" width="4" style="1" customWidth="1"/>
    <col min="13828" max="13828" width="5.140625" style="1" customWidth="1"/>
    <col min="13829" max="13829" width="6" style="1" customWidth="1"/>
    <col min="13830" max="13830" width="8.5703125" style="1" customWidth="1"/>
    <col min="13831" max="13831" width="8.28515625" style="1" customWidth="1"/>
    <col min="13832" max="13832" width="7.85546875" style="1" customWidth="1"/>
    <col min="13833" max="13833" width="10.85546875" style="1" customWidth="1"/>
    <col min="13834" max="13834" width="10.42578125" style="1" customWidth="1"/>
    <col min="13835" max="13835" width="8" style="1" customWidth="1"/>
    <col min="13836" max="13836" width="8.85546875" style="1" customWidth="1"/>
    <col min="13837" max="13837" width="23" style="1" customWidth="1"/>
    <col min="13838" max="13838" width="13.5703125" style="1" customWidth="1"/>
    <col min="13839" max="13839" width="9.140625" style="1"/>
    <col min="13840" max="13840" width="13.7109375" style="1" customWidth="1"/>
    <col min="13841" max="14080" width="9.140625" style="1"/>
    <col min="14081" max="14081" width="5.42578125" style="1" customWidth="1"/>
    <col min="14082" max="14082" width="5.85546875" style="1" customWidth="1"/>
    <col min="14083" max="14083" width="4" style="1" customWidth="1"/>
    <col min="14084" max="14084" width="5.140625" style="1" customWidth="1"/>
    <col min="14085" max="14085" width="6" style="1" customWidth="1"/>
    <col min="14086" max="14086" width="8.5703125" style="1" customWidth="1"/>
    <col min="14087" max="14087" width="8.28515625" style="1" customWidth="1"/>
    <col min="14088" max="14088" width="7.85546875" style="1" customWidth="1"/>
    <col min="14089" max="14089" width="10.85546875" style="1" customWidth="1"/>
    <col min="14090" max="14090" width="10.42578125" style="1" customWidth="1"/>
    <col min="14091" max="14091" width="8" style="1" customWidth="1"/>
    <col min="14092" max="14092" width="8.85546875" style="1" customWidth="1"/>
    <col min="14093" max="14093" width="23" style="1" customWidth="1"/>
    <col min="14094" max="14094" width="13.5703125" style="1" customWidth="1"/>
    <col min="14095" max="14095" width="9.140625" style="1"/>
    <col min="14096" max="14096" width="13.7109375" style="1" customWidth="1"/>
    <col min="14097" max="14336" width="9.140625" style="1"/>
    <col min="14337" max="14337" width="5.42578125" style="1" customWidth="1"/>
    <col min="14338" max="14338" width="5.85546875" style="1" customWidth="1"/>
    <col min="14339" max="14339" width="4" style="1" customWidth="1"/>
    <col min="14340" max="14340" width="5.140625" style="1" customWidth="1"/>
    <col min="14341" max="14341" width="6" style="1" customWidth="1"/>
    <col min="14342" max="14342" width="8.5703125" style="1" customWidth="1"/>
    <col min="14343" max="14343" width="8.28515625" style="1" customWidth="1"/>
    <col min="14344" max="14344" width="7.85546875" style="1" customWidth="1"/>
    <col min="14345" max="14345" width="10.85546875" style="1" customWidth="1"/>
    <col min="14346" max="14346" width="10.42578125" style="1" customWidth="1"/>
    <col min="14347" max="14347" width="8" style="1" customWidth="1"/>
    <col min="14348" max="14348" width="8.85546875" style="1" customWidth="1"/>
    <col min="14349" max="14349" width="23" style="1" customWidth="1"/>
    <col min="14350" max="14350" width="13.5703125" style="1" customWidth="1"/>
    <col min="14351" max="14351" width="9.140625" style="1"/>
    <col min="14352" max="14352" width="13.7109375" style="1" customWidth="1"/>
    <col min="14353" max="14592" width="9.140625" style="1"/>
    <col min="14593" max="14593" width="5.42578125" style="1" customWidth="1"/>
    <col min="14594" max="14594" width="5.85546875" style="1" customWidth="1"/>
    <col min="14595" max="14595" width="4" style="1" customWidth="1"/>
    <col min="14596" max="14596" width="5.140625" style="1" customWidth="1"/>
    <col min="14597" max="14597" width="6" style="1" customWidth="1"/>
    <col min="14598" max="14598" width="8.5703125" style="1" customWidth="1"/>
    <col min="14599" max="14599" width="8.28515625" style="1" customWidth="1"/>
    <col min="14600" max="14600" width="7.85546875" style="1" customWidth="1"/>
    <col min="14601" max="14601" width="10.85546875" style="1" customWidth="1"/>
    <col min="14602" max="14602" width="10.42578125" style="1" customWidth="1"/>
    <col min="14603" max="14603" width="8" style="1" customWidth="1"/>
    <col min="14604" max="14604" width="8.85546875" style="1" customWidth="1"/>
    <col min="14605" max="14605" width="23" style="1" customWidth="1"/>
    <col min="14606" max="14606" width="13.5703125" style="1" customWidth="1"/>
    <col min="14607" max="14607" width="9.140625" style="1"/>
    <col min="14608" max="14608" width="13.7109375" style="1" customWidth="1"/>
    <col min="14609" max="14848" width="9.140625" style="1"/>
    <col min="14849" max="14849" width="5.42578125" style="1" customWidth="1"/>
    <col min="14850" max="14850" width="5.85546875" style="1" customWidth="1"/>
    <col min="14851" max="14851" width="4" style="1" customWidth="1"/>
    <col min="14852" max="14852" width="5.140625" style="1" customWidth="1"/>
    <col min="14853" max="14853" width="6" style="1" customWidth="1"/>
    <col min="14854" max="14854" width="8.5703125" style="1" customWidth="1"/>
    <col min="14855" max="14855" width="8.28515625" style="1" customWidth="1"/>
    <col min="14856" max="14856" width="7.85546875" style="1" customWidth="1"/>
    <col min="14857" max="14857" width="10.85546875" style="1" customWidth="1"/>
    <col min="14858" max="14858" width="10.42578125" style="1" customWidth="1"/>
    <col min="14859" max="14859" width="8" style="1" customWidth="1"/>
    <col min="14860" max="14860" width="8.85546875" style="1" customWidth="1"/>
    <col min="14861" max="14861" width="23" style="1" customWidth="1"/>
    <col min="14862" max="14862" width="13.5703125" style="1" customWidth="1"/>
    <col min="14863" max="14863" width="9.140625" style="1"/>
    <col min="14864" max="14864" width="13.7109375" style="1" customWidth="1"/>
    <col min="14865" max="15104" width="9.140625" style="1"/>
    <col min="15105" max="15105" width="5.42578125" style="1" customWidth="1"/>
    <col min="15106" max="15106" width="5.85546875" style="1" customWidth="1"/>
    <col min="15107" max="15107" width="4" style="1" customWidth="1"/>
    <col min="15108" max="15108" width="5.140625" style="1" customWidth="1"/>
    <col min="15109" max="15109" width="6" style="1" customWidth="1"/>
    <col min="15110" max="15110" width="8.5703125" style="1" customWidth="1"/>
    <col min="15111" max="15111" width="8.28515625" style="1" customWidth="1"/>
    <col min="15112" max="15112" width="7.85546875" style="1" customWidth="1"/>
    <col min="15113" max="15113" width="10.85546875" style="1" customWidth="1"/>
    <col min="15114" max="15114" width="10.42578125" style="1" customWidth="1"/>
    <col min="15115" max="15115" width="8" style="1" customWidth="1"/>
    <col min="15116" max="15116" width="8.85546875" style="1" customWidth="1"/>
    <col min="15117" max="15117" width="23" style="1" customWidth="1"/>
    <col min="15118" max="15118" width="13.5703125" style="1" customWidth="1"/>
    <col min="15119" max="15119" width="9.140625" style="1"/>
    <col min="15120" max="15120" width="13.7109375" style="1" customWidth="1"/>
    <col min="15121" max="15360" width="9.140625" style="1"/>
    <col min="15361" max="15361" width="5.42578125" style="1" customWidth="1"/>
    <col min="15362" max="15362" width="5.85546875" style="1" customWidth="1"/>
    <col min="15363" max="15363" width="4" style="1" customWidth="1"/>
    <col min="15364" max="15364" width="5.140625" style="1" customWidth="1"/>
    <col min="15365" max="15365" width="6" style="1" customWidth="1"/>
    <col min="15366" max="15366" width="8.5703125" style="1" customWidth="1"/>
    <col min="15367" max="15367" width="8.28515625" style="1" customWidth="1"/>
    <col min="15368" max="15368" width="7.85546875" style="1" customWidth="1"/>
    <col min="15369" max="15369" width="10.85546875" style="1" customWidth="1"/>
    <col min="15370" max="15370" width="10.42578125" style="1" customWidth="1"/>
    <col min="15371" max="15371" width="8" style="1" customWidth="1"/>
    <col min="15372" max="15372" width="8.85546875" style="1" customWidth="1"/>
    <col min="15373" max="15373" width="23" style="1" customWidth="1"/>
    <col min="15374" max="15374" width="13.5703125" style="1" customWidth="1"/>
    <col min="15375" max="15375" width="9.140625" style="1"/>
    <col min="15376" max="15376" width="13.7109375" style="1" customWidth="1"/>
    <col min="15377" max="15616" width="9.140625" style="1"/>
    <col min="15617" max="15617" width="5.42578125" style="1" customWidth="1"/>
    <col min="15618" max="15618" width="5.85546875" style="1" customWidth="1"/>
    <col min="15619" max="15619" width="4" style="1" customWidth="1"/>
    <col min="15620" max="15620" width="5.140625" style="1" customWidth="1"/>
    <col min="15621" max="15621" width="6" style="1" customWidth="1"/>
    <col min="15622" max="15622" width="8.5703125" style="1" customWidth="1"/>
    <col min="15623" max="15623" width="8.28515625" style="1" customWidth="1"/>
    <col min="15624" max="15624" width="7.85546875" style="1" customWidth="1"/>
    <col min="15625" max="15625" width="10.85546875" style="1" customWidth="1"/>
    <col min="15626" max="15626" width="10.42578125" style="1" customWidth="1"/>
    <col min="15627" max="15627" width="8" style="1" customWidth="1"/>
    <col min="15628" max="15628" width="8.85546875" style="1" customWidth="1"/>
    <col min="15629" max="15629" width="23" style="1" customWidth="1"/>
    <col min="15630" max="15630" width="13.5703125" style="1" customWidth="1"/>
    <col min="15631" max="15631" width="9.140625" style="1"/>
    <col min="15632" max="15632" width="13.7109375" style="1" customWidth="1"/>
    <col min="15633" max="15872" width="9.140625" style="1"/>
    <col min="15873" max="15873" width="5.42578125" style="1" customWidth="1"/>
    <col min="15874" max="15874" width="5.85546875" style="1" customWidth="1"/>
    <col min="15875" max="15875" width="4" style="1" customWidth="1"/>
    <col min="15876" max="15876" width="5.140625" style="1" customWidth="1"/>
    <col min="15877" max="15877" width="6" style="1" customWidth="1"/>
    <col min="15878" max="15878" width="8.5703125" style="1" customWidth="1"/>
    <col min="15879" max="15879" width="8.28515625" style="1" customWidth="1"/>
    <col min="15880" max="15880" width="7.85546875" style="1" customWidth="1"/>
    <col min="15881" max="15881" width="10.85546875" style="1" customWidth="1"/>
    <col min="15882" max="15882" width="10.42578125" style="1" customWidth="1"/>
    <col min="15883" max="15883" width="8" style="1" customWidth="1"/>
    <col min="15884" max="15884" width="8.85546875" style="1" customWidth="1"/>
    <col min="15885" max="15885" width="23" style="1" customWidth="1"/>
    <col min="15886" max="15886" width="13.5703125" style="1" customWidth="1"/>
    <col min="15887" max="15887" width="9.140625" style="1"/>
    <col min="15888" max="15888" width="13.7109375" style="1" customWidth="1"/>
    <col min="15889" max="16128" width="9.140625" style="1"/>
    <col min="16129" max="16129" width="5.42578125" style="1" customWidth="1"/>
    <col min="16130" max="16130" width="5.85546875" style="1" customWidth="1"/>
    <col min="16131" max="16131" width="4" style="1" customWidth="1"/>
    <col min="16132" max="16132" width="5.140625" style="1" customWidth="1"/>
    <col min="16133" max="16133" width="6" style="1" customWidth="1"/>
    <col min="16134" max="16134" width="8.5703125" style="1" customWidth="1"/>
    <col min="16135" max="16135" width="8.28515625" style="1" customWidth="1"/>
    <col min="16136" max="16136" width="7.85546875" style="1" customWidth="1"/>
    <col min="16137" max="16137" width="10.85546875" style="1" customWidth="1"/>
    <col min="16138" max="16138" width="10.42578125" style="1" customWidth="1"/>
    <col min="16139" max="16139" width="8" style="1" customWidth="1"/>
    <col min="16140" max="16140" width="8.85546875" style="1" customWidth="1"/>
    <col min="16141" max="16141" width="23" style="1" customWidth="1"/>
    <col min="16142" max="16142" width="13.5703125" style="1" customWidth="1"/>
    <col min="16143" max="16143" width="9.140625" style="1"/>
    <col min="16144" max="16144" width="13.7109375" style="1" customWidth="1"/>
    <col min="16145" max="16384" width="9.140625" style="1"/>
  </cols>
  <sheetData>
    <row r="1" spans="1:19" s="447" customFormat="1" ht="12.75" customHeight="1" x14ac:dyDescent="0.2">
      <c r="A1" s="118" t="s">
        <v>0</v>
      </c>
      <c r="B1" s="36"/>
      <c r="C1" s="36"/>
      <c r="D1" s="36"/>
      <c r="E1" s="535"/>
      <c r="F1" s="535"/>
      <c r="H1" s="629"/>
      <c r="I1" s="629"/>
      <c r="J1" s="224"/>
      <c r="K1" s="629"/>
      <c r="L1" s="629"/>
      <c r="M1" s="629"/>
    </row>
    <row r="2" spans="1:19" s="447" customFormat="1" x14ac:dyDescent="0.2">
      <c r="A2" s="118" t="s">
        <v>128</v>
      </c>
      <c r="B2" s="36"/>
      <c r="C2" s="36"/>
      <c r="D2" s="36"/>
      <c r="E2" s="535"/>
      <c r="F2" s="535"/>
      <c r="G2" s="629"/>
      <c r="H2" s="629"/>
      <c r="I2" s="629"/>
      <c r="J2" s="629"/>
      <c r="K2" s="629"/>
      <c r="L2" s="629"/>
      <c r="M2" s="629"/>
    </row>
    <row r="3" spans="1:19" s="447" customFormat="1" ht="12.75" customHeight="1" x14ac:dyDescent="0.2">
      <c r="A3" s="118" t="s">
        <v>129</v>
      </c>
      <c r="B3" s="36"/>
      <c r="C3" s="36"/>
      <c r="D3" s="36"/>
      <c r="E3" s="535"/>
      <c r="F3" s="535"/>
      <c r="H3"/>
      <c r="I3"/>
      <c r="J3" s="629"/>
      <c r="K3" s="629"/>
      <c r="L3" s="629"/>
      <c r="M3" s="629"/>
    </row>
    <row r="4" spans="1:19" s="447" customFormat="1" ht="12.75" customHeight="1" x14ac:dyDescent="0.2">
      <c r="A4" s="118" t="s">
        <v>130</v>
      </c>
      <c r="B4" s="36"/>
      <c r="C4" s="36"/>
      <c r="D4" s="36"/>
      <c r="E4" s="535"/>
      <c r="F4" s="535"/>
      <c r="G4"/>
      <c r="H4"/>
      <c r="I4"/>
      <c r="J4"/>
      <c r="K4"/>
      <c r="L4"/>
    </row>
    <row r="5" spans="1:19" s="447" customFormat="1" x14ac:dyDescent="0.2">
      <c r="A5" s="118" t="s">
        <v>131</v>
      </c>
      <c r="B5" s="36"/>
      <c r="C5" s="36"/>
      <c r="D5" s="36"/>
      <c r="E5" s="535"/>
      <c r="F5" s="535"/>
      <c r="J5" s="446"/>
    </row>
    <row r="6" spans="1:19" s="447" customFormat="1" x14ac:dyDescent="0.2">
      <c r="A6" s="118" t="s">
        <v>132</v>
      </c>
      <c r="B6" s="228"/>
      <c r="C6" s="228"/>
      <c r="D6" s="228"/>
      <c r="E6" s="42"/>
      <c r="F6" s="42"/>
      <c r="G6" s="446"/>
    </row>
    <row r="7" spans="1:19" s="447" customFormat="1" x14ac:dyDescent="0.2">
      <c r="A7" s="446"/>
      <c r="B7" s="446"/>
      <c r="D7" s="446"/>
      <c r="E7" s="446"/>
      <c r="F7"/>
      <c r="G7" s="446"/>
    </row>
    <row r="8" spans="1:19" s="447" customFormat="1" x14ac:dyDescent="0.2">
      <c r="A8" s="446"/>
      <c r="B8" s="446"/>
      <c r="D8" s="446"/>
      <c r="E8" s="446"/>
      <c r="F8"/>
    </row>
    <row r="9" spans="1:19" s="447" customFormat="1" ht="16.5" x14ac:dyDescent="0.2">
      <c r="B9" s="848" t="s">
        <v>539</v>
      </c>
      <c r="C9" s="644"/>
      <c r="D9" s="644"/>
      <c r="E9" s="644"/>
      <c r="F9" s="644"/>
      <c r="G9" s="644"/>
      <c r="H9" s="644"/>
      <c r="I9" s="644"/>
      <c r="J9" s="644"/>
      <c r="K9" s="644"/>
      <c r="L9" s="644"/>
      <c r="M9" s="644"/>
    </row>
    <row r="10" spans="1:19" s="26" customFormat="1" ht="13.5" customHeight="1" x14ac:dyDescent="0.2">
      <c r="A10" s="658" t="s">
        <v>404</v>
      </c>
      <c r="B10" s="658"/>
      <c r="C10" s="658"/>
      <c r="D10" s="658"/>
      <c r="E10" s="658"/>
      <c r="F10" s="658"/>
      <c r="G10" s="658"/>
      <c r="H10" s="658"/>
      <c r="I10" s="658"/>
      <c r="J10" s="658"/>
      <c r="K10" s="658"/>
      <c r="L10" s="658"/>
      <c r="M10" s="658"/>
      <c r="N10" s="539"/>
      <c r="O10" s="539"/>
      <c r="P10" s="539"/>
      <c r="Q10" s="539"/>
      <c r="R10" s="539"/>
      <c r="S10" s="539"/>
    </row>
    <row r="12" spans="1:19" s="533" customFormat="1" ht="13.5" x14ac:dyDescent="0.2">
      <c r="A12" s="641"/>
      <c r="B12" s="870" t="s">
        <v>137</v>
      </c>
      <c r="C12" s="871"/>
      <c r="D12" s="871"/>
      <c r="E12" s="872"/>
      <c r="F12" s="758" t="s">
        <v>134</v>
      </c>
      <c r="G12" s="873" t="s">
        <v>135</v>
      </c>
      <c r="H12" s="874"/>
      <c r="I12" s="875"/>
      <c r="J12" s="846" t="s">
        <v>136</v>
      </c>
      <c r="K12" s="876" t="s">
        <v>51</v>
      </c>
      <c r="L12" s="670"/>
      <c r="M12" s="671"/>
    </row>
    <row r="13" spans="1:19" s="533" customFormat="1" ht="13.5" x14ac:dyDescent="0.2">
      <c r="B13" s="844" t="s">
        <v>1</v>
      </c>
      <c r="C13" s="765"/>
      <c r="D13" s="765"/>
      <c r="E13" s="845"/>
      <c r="F13" s="759"/>
      <c r="G13" s="846" t="s">
        <v>98</v>
      </c>
      <c r="H13" s="847" t="s">
        <v>125</v>
      </c>
      <c r="I13" s="846" t="s">
        <v>138</v>
      </c>
      <c r="J13" s="661"/>
      <c r="K13" s="877"/>
      <c r="L13" s="667"/>
      <c r="M13" s="668"/>
    </row>
    <row r="14" spans="1:19" s="533" customFormat="1" ht="24.75" customHeight="1" x14ac:dyDescent="0.2">
      <c r="A14" s="230"/>
      <c r="B14" s="230"/>
      <c r="C14" s="231"/>
      <c r="D14" s="484"/>
      <c r="E14" s="485"/>
      <c r="F14" s="760"/>
      <c r="G14" s="662"/>
      <c r="H14" s="662"/>
      <c r="I14" s="662"/>
      <c r="J14" s="662"/>
      <c r="K14" s="878"/>
      <c r="L14" s="879"/>
      <c r="M14" s="880"/>
    </row>
    <row r="15" spans="1:19" s="533" customFormat="1" ht="15.75" x14ac:dyDescent="0.2">
      <c r="A15" s="630"/>
      <c r="B15" s="546"/>
      <c r="C15" s="631"/>
      <c r="D15" s="632"/>
      <c r="E15" s="633"/>
      <c r="F15" s="634" t="s">
        <v>540</v>
      </c>
      <c r="G15" s="635">
        <v>1.1990000000000001</v>
      </c>
      <c r="H15" s="636" t="s">
        <v>570</v>
      </c>
      <c r="I15" s="637"/>
      <c r="J15" s="638"/>
      <c r="K15" s="639"/>
      <c r="L15" s="546"/>
      <c r="M15" s="640"/>
    </row>
    <row r="16" spans="1:19" s="533" customFormat="1" ht="13.5" x14ac:dyDescent="0.2">
      <c r="A16" s="583"/>
      <c r="B16" s="584" t="s">
        <v>565</v>
      </c>
      <c r="C16" s="541"/>
      <c r="F16" s="536"/>
      <c r="G16" s="540"/>
      <c r="H16" s="540"/>
      <c r="I16" s="540"/>
      <c r="J16" s="540"/>
      <c r="K16" s="541"/>
      <c r="L16" s="541"/>
      <c r="M16" s="541"/>
    </row>
    <row r="17" spans="1:15" s="593" customFormat="1" ht="13.5" x14ac:dyDescent="0.2">
      <c r="A17" s="585"/>
      <c r="B17" s="586" t="s">
        <v>541</v>
      </c>
      <c r="C17" s="587"/>
      <c r="D17" s="587"/>
      <c r="E17" s="588"/>
      <c r="F17" s="589"/>
      <c r="G17" s="585"/>
      <c r="H17" s="590"/>
      <c r="I17" s="591"/>
      <c r="J17" s="591"/>
      <c r="K17" s="591"/>
      <c r="L17" s="591"/>
      <c r="M17" s="591"/>
      <c r="N17" s="592"/>
      <c r="O17" s="592"/>
    </row>
    <row r="18" spans="1:15" s="593" customFormat="1" ht="13.5" x14ac:dyDescent="0.2">
      <c r="A18" s="856" t="s">
        <v>39</v>
      </c>
      <c r="B18" s="859" t="s">
        <v>542</v>
      </c>
      <c r="C18" s="835"/>
      <c r="D18" s="835"/>
      <c r="E18" s="836"/>
      <c r="F18" s="866" t="s">
        <v>543</v>
      </c>
      <c r="G18" s="856" t="s">
        <v>544</v>
      </c>
      <c r="H18" s="869">
        <f>L22*4</f>
        <v>160</v>
      </c>
      <c r="I18" s="852">
        <f>ROUND(L24%*L23*L25*L26*L27*$G$15,2)</f>
        <v>37.979999999999997</v>
      </c>
      <c r="J18" s="849">
        <f>H18*I18</f>
        <v>6076.7999999999993</v>
      </c>
      <c r="K18" s="594" t="s">
        <v>545</v>
      </c>
      <c r="L18" s="595">
        <v>0.9</v>
      </c>
      <c r="M18" s="596" t="s">
        <v>546</v>
      </c>
      <c r="N18" s="852">
        <f>ROUND(L24%*L23*L25*L26*100%*$G$15,2)</f>
        <v>47.48</v>
      </c>
    </row>
    <row r="19" spans="1:15" s="593" customFormat="1" ht="13.5" x14ac:dyDescent="0.2">
      <c r="A19" s="857"/>
      <c r="B19" s="860"/>
      <c r="C19" s="861"/>
      <c r="D19" s="861"/>
      <c r="E19" s="862"/>
      <c r="F19" s="867"/>
      <c r="G19" s="857"/>
      <c r="H19" s="857"/>
      <c r="I19" s="850"/>
      <c r="J19" s="850"/>
      <c r="K19" s="597" t="s">
        <v>547</v>
      </c>
      <c r="L19" s="598">
        <v>17</v>
      </c>
      <c r="M19" s="599" t="s">
        <v>546</v>
      </c>
      <c r="N19" s="850"/>
    </row>
    <row r="20" spans="1:15" s="593" customFormat="1" ht="13.5" x14ac:dyDescent="0.2">
      <c r="A20" s="857"/>
      <c r="B20" s="860"/>
      <c r="C20" s="861"/>
      <c r="D20" s="861"/>
      <c r="E20" s="862"/>
      <c r="F20" s="867"/>
      <c r="G20" s="857"/>
      <c r="H20" s="857"/>
      <c r="I20" s="850"/>
      <c r="J20" s="850"/>
      <c r="K20" s="600" t="s">
        <v>548</v>
      </c>
      <c r="L20" s="598">
        <v>20</v>
      </c>
      <c r="M20" s="599" t="s">
        <v>549</v>
      </c>
      <c r="N20" s="850"/>
      <c r="O20" s="593">
        <f>15+1.5*2+2</f>
        <v>20</v>
      </c>
    </row>
    <row r="21" spans="1:15" s="593" customFormat="1" ht="13.5" x14ac:dyDescent="0.2">
      <c r="A21" s="857"/>
      <c r="B21" s="860"/>
      <c r="C21" s="861"/>
      <c r="D21" s="861"/>
      <c r="E21" s="862"/>
      <c r="F21" s="867"/>
      <c r="G21" s="857"/>
      <c r="H21" s="857"/>
      <c r="I21" s="850"/>
      <c r="J21" s="850"/>
      <c r="K21" s="600" t="s">
        <v>550</v>
      </c>
      <c r="L21" s="598">
        <v>2</v>
      </c>
      <c r="M21" s="599" t="s">
        <v>551</v>
      </c>
      <c r="N21" s="850"/>
    </row>
    <row r="22" spans="1:15" s="593" customFormat="1" ht="27" x14ac:dyDescent="0.2">
      <c r="A22" s="857"/>
      <c r="B22" s="860"/>
      <c r="C22" s="861"/>
      <c r="D22" s="861"/>
      <c r="E22" s="862"/>
      <c r="F22" s="867"/>
      <c r="G22" s="857"/>
      <c r="H22" s="857"/>
      <c r="I22" s="850"/>
      <c r="J22" s="850"/>
      <c r="K22" s="600" t="s">
        <v>552</v>
      </c>
      <c r="L22" s="598">
        <f>ROUND(L20*L21,2)</f>
        <v>40</v>
      </c>
      <c r="M22" s="599" t="s">
        <v>553</v>
      </c>
      <c r="N22" s="850"/>
    </row>
    <row r="23" spans="1:15" s="593" customFormat="1" ht="13.5" x14ac:dyDescent="0.2">
      <c r="A23" s="857"/>
      <c r="B23" s="860"/>
      <c r="C23" s="861"/>
      <c r="D23" s="861"/>
      <c r="E23" s="862"/>
      <c r="F23" s="867"/>
      <c r="G23" s="857"/>
      <c r="H23" s="857"/>
      <c r="I23" s="850"/>
      <c r="J23" s="850"/>
      <c r="K23" s="600" t="s">
        <v>554</v>
      </c>
      <c r="L23" s="598">
        <v>1100</v>
      </c>
      <c r="M23" s="599" t="s">
        <v>555</v>
      </c>
      <c r="N23" s="850"/>
    </row>
    <row r="24" spans="1:15" s="593" customFormat="1" ht="27" x14ac:dyDescent="0.25">
      <c r="A24" s="857"/>
      <c r="B24" s="860"/>
      <c r="C24" s="861"/>
      <c r="D24" s="861"/>
      <c r="E24" s="862"/>
      <c r="F24" s="867"/>
      <c r="G24" s="857"/>
      <c r="H24" s="857"/>
      <c r="I24" s="850"/>
      <c r="J24" s="850"/>
      <c r="K24" s="600" t="s">
        <v>556</v>
      </c>
      <c r="L24" s="601">
        <f>ROUND(L18+((5.6*L19)/(L23*L22)^(1/3)),2)</f>
        <v>3.6</v>
      </c>
      <c r="M24" s="599" t="s">
        <v>557</v>
      </c>
      <c r="N24" s="850"/>
    </row>
    <row r="25" spans="1:15" s="593" customFormat="1" ht="27" x14ac:dyDescent="0.2">
      <c r="A25" s="857"/>
      <c r="B25" s="860"/>
      <c r="C25" s="861"/>
      <c r="D25" s="861"/>
      <c r="E25" s="862"/>
      <c r="F25" s="867"/>
      <c r="G25" s="857"/>
      <c r="H25" s="857"/>
      <c r="I25" s="850"/>
      <c r="J25" s="850"/>
      <c r="K25" s="600" t="s">
        <v>558</v>
      </c>
      <c r="L25" s="598">
        <v>1</v>
      </c>
      <c r="M25" s="599" t="s">
        <v>559</v>
      </c>
      <c r="N25" s="850"/>
    </row>
    <row r="26" spans="1:15" s="593" customFormat="1" ht="27" x14ac:dyDescent="0.2">
      <c r="A26" s="857"/>
      <c r="B26" s="860"/>
      <c r="C26" s="861"/>
      <c r="D26" s="861"/>
      <c r="E26" s="862"/>
      <c r="F26" s="867"/>
      <c r="G26" s="857"/>
      <c r="H26" s="857"/>
      <c r="I26" s="850"/>
      <c r="J26" s="850"/>
      <c r="K26" s="600" t="s">
        <v>240</v>
      </c>
      <c r="L26" s="598">
        <v>1</v>
      </c>
      <c r="M26" s="599" t="s">
        <v>560</v>
      </c>
      <c r="N26" s="850"/>
    </row>
    <row r="27" spans="1:15" s="593" customFormat="1" ht="27" x14ac:dyDescent="0.2">
      <c r="A27" s="857"/>
      <c r="B27" s="860"/>
      <c r="C27" s="861"/>
      <c r="D27" s="861"/>
      <c r="E27" s="862"/>
      <c r="F27" s="867"/>
      <c r="G27" s="857"/>
      <c r="H27" s="857"/>
      <c r="I27" s="850"/>
      <c r="J27" s="850"/>
      <c r="K27" s="600" t="s">
        <v>561</v>
      </c>
      <c r="L27" s="602">
        <f>60%+5%+15%</f>
        <v>0.8</v>
      </c>
      <c r="M27" s="599" t="s">
        <v>562</v>
      </c>
      <c r="N27" s="850"/>
    </row>
    <row r="28" spans="1:15" s="593" customFormat="1" ht="13.5" x14ac:dyDescent="0.2">
      <c r="A28" s="858"/>
      <c r="B28" s="863"/>
      <c r="C28" s="864"/>
      <c r="D28" s="864"/>
      <c r="E28" s="865"/>
      <c r="F28" s="868"/>
      <c r="G28" s="858"/>
      <c r="H28" s="858"/>
      <c r="I28" s="851"/>
      <c r="J28" s="851"/>
      <c r="K28" s="853" t="s">
        <v>563</v>
      </c>
      <c r="L28" s="854"/>
      <c r="M28" s="855"/>
      <c r="N28" s="851"/>
    </row>
    <row r="29" spans="1:15" s="593" customFormat="1" ht="13.5" x14ac:dyDescent="0.2">
      <c r="A29" s="603"/>
      <c r="B29" s="604"/>
      <c r="C29" s="605"/>
      <c r="D29" s="605"/>
      <c r="E29" s="605"/>
      <c r="F29" s="606"/>
      <c r="G29" s="607"/>
      <c r="H29" s="607"/>
      <c r="I29" s="608"/>
      <c r="J29" s="533"/>
      <c r="K29" s="609"/>
      <c r="L29" s="605"/>
      <c r="M29" s="605"/>
      <c r="N29" s="533"/>
    </row>
    <row r="30" spans="1:15" s="447" customFormat="1" ht="13.5" x14ac:dyDescent="0.2">
      <c r="A30" s="610"/>
      <c r="B30" s="481" t="s">
        <v>493</v>
      </c>
      <c r="C30" s="610"/>
      <c r="D30" s="610"/>
      <c r="E30" s="610"/>
      <c r="F30" s="611"/>
      <c r="G30" s="612"/>
      <c r="H30" s="613"/>
      <c r="I30" s="614"/>
      <c r="J30" s="615">
        <f>H18*N18</f>
        <v>7596.7999999999993</v>
      </c>
      <c r="K30" s="610"/>
      <c r="L30" s="610"/>
      <c r="M30" s="610"/>
    </row>
    <row r="31" spans="1:15" s="447" customFormat="1" ht="0.75" customHeight="1" x14ac:dyDescent="0.2">
      <c r="A31" s="343"/>
      <c r="B31" s="616"/>
      <c r="C31" s="617"/>
      <c r="D31" s="617"/>
      <c r="E31" s="618"/>
      <c r="F31" s="619"/>
      <c r="G31" s="620"/>
      <c r="H31" s="620"/>
      <c r="I31" s="608"/>
    </row>
    <row r="32" spans="1:15" s="447" customFormat="1" ht="19.5" customHeight="1" x14ac:dyDescent="0.2">
      <c r="A32" s="621"/>
      <c r="B32" s="622"/>
      <c r="C32" s="623"/>
      <c r="D32" s="623"/>
      <c r="E32" s="624"/>
      <c r="F32" s="625"/>
      <c r="G32" s="626"/>
      <c r="H32" s="626"/>
      <c r="I32" s="608"/>
    </row>
    <row r="33" spans="1:13" s="447" customFormat="1" ht="15" customHeight="1" x14ac:dyDescent="0.2">
      <c r="A33" s="627"/>
      <c r="B33" s="481" t="s">
        <v>564</v>
      </c>
      <c r="C33" s="610"/>
      <c r="D33" s="610"/>
      <c r="E33" s="610"/>
      <c r="F33" s="611"/>
      <c r="G33" s="627"/>
      <c r="H33" s="628"/>
      <c r="I33" s="614"/>
      <c r="J33" s="615">
        <f>J18</f>
        <v>6076.7999999999993</v>
      </c>
      <c r="K33" s="610"/>
      <c r="L33" s="610"/>
      <c r="M33" s="611"/>
    </row>
  </sheetData>
  <mergeCells count="20">
    <mergeCell ref="N18:N28"/>
    <mergeCell ref="K28:M28"/>
    <mergeCell ref="A10:M10"/>
    <mergeCell ref="I13:I14"/>
    <mergeCell ref="A18:A28"/>
    <mergeCell ref="B18:E28"/>
    <mergeCell ref="F18:F28"/>
    <mergeCell ref="G18:G28"/>
    <mergeCell ref="H18:H28"/>
    <mergeCell ref="I18:I28"/>
    <mergeCell ref="B12:E12"/>
    <mergeCell ref="F12:F14"/>
    <mergeCell ref="G12:I12"/>
    <mergeCell ref="J12:J14"/>
    <mergeCell ref="K12:M14"/>
    <mergeCell ref="B13:E13"/>
    <mergeCell ref="G13:G14"/>
    <mergeCell ref="H13:H14"/>
    <mergeCell ref="B9:M9"/>
    <mergeCell ref="J18:J28"/>
  </mergeCells>
  <hyperlinks>
    <hyperlink ref="H15" r:id="rId1" display="https://segm.gr/wp-content/uploads/2019/04/Egkyklios_3_anaprosarmogi_timis_syntelesti_Kan_Proekt_Amoiv_Meleton_Ypiresion_2019.pdf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Normal="100" zoomScaleSheetLayoutView="100" workbookViewId="0">
      <selection activeCell="I13" sqref="I13"/>
    </sheetView>
  </sheetViews>
  <sheetFormatPr defaultColWidth="9.140625" defaultRowHeight="12.75" x14ac:dyDescent="0.2"/>
  <cols>
    <col min="1" max="1" width="4.7109375" style="35" customWidth="1"/>
    <col min="2" max="2" width="4" style="26" customWidth="1"/>
    <col min="3" max="3" width="2.85546875" style="26" customWidth="1"/>
    <col min="4" max="4" width="3.140625" style="26" customWidth="1"/>
    <col min="5" max="5" width="3.28515625" style="26" customWidth="1"/>
    <col min="6" max="6" width="6.28515625" style="34" customWidth="1"/>
    <col min="7" max="7" width="7.7109375" style="35" customWidth="1"/>
    <col min="8" max="8" width="4.85546875" style="26" customWidth="1"/>
    <col min="9" max="9" width="7.85546875" style="26" customWidth="1"/>
    <col min="10" max="11" width="9" style="26" customWidth="1"/>
    <col min="12" max="12" width="8.85546875" style="26" customWidth="1"/>
    <col min="13" max="13" width="11.42578125" style="26" customWidth="1"/>
    <col min="14" max="14" width="6.28515625" style="26" customWidth="1"/>
    <col min="15" max="15" width="8" style="26" customWidth="1"/>
    <col min="16" max="16" width="9.140625" style="26"/>
    <col min="17" max="17" width="13.7109375" style="26" customWidth="1"/>
    <col min="18" max="16384" width="9.140625" style="26"/>
  </cols>
  <sheetData>
    <row r="1" spans="1:16" s="191" customFormat="1" ht="15.95" customHeight="1" x14ac:dyDescent="0.2">
      <c r="A1" s="118" t="s">
        <v>0</v>
      </c>
      <c r="B1" s="36"/>
      <c r="C1" s="36"/>
      <c r="D1" s="36"/>
      <c r="E1" s="385"/>
      <c r="F1" s="385"/>
      <c r="G1" s="404"/>
      <c r="I1" s="111"/>
      <c r="J1" s="228"/>
    </row>
    <row r="2" spans="1:16" s="191" customFormat="1" ht="15.95" customHeight="1" x14ac:dyDescent="0.2">
      <c r="A2" s="118" t="s">
        <v>128</v>
      </c>
      <c r="B2" s="36"/>
      <c r="C2" s="36"/>
      <c r="D2" s="36"/>
      <c r="E2" s="385"/>
      <c r="F2" s="385"/>
      <c r="G2" s="404"/>
      <c r="J2" s="228"/>
    </row>
    <row r="3" spans="1:16" s="191" customFormat="1" ht="15.95" customHeight="1" x14ac:dyDescent="0.2">
      <c r="A3" s="118" t="s">
        <v>129</v>
      </c>
      <c r="B3" s="36"/>
      <c r="C3" s="36"/>
      <c r="D3" s="36"/>
      <c r="E3" s="385"/>
      <c r="F3" s="385"/>
      <c r="G3" s="404"/>
      <c r="I3" s="110"/>
      <c r="J3" s="228"/>
    </row>
    <row r="4" spans="1:16" s="191" customFormat="1" ht="15.95" customHeight="1" x14ac:dyDescent="0.2">
      <c r="A4" s="118" t="s">
        <v>130</v>
      </c>
      <c r="B4" s="36"/>
      <c r="C4" s="36"/>
      <c r="D4" s="36"/>
      <c r="E4" s="385"/>
      <c r="F4" s="385"/>
      <c r="G4" s="404"/>
      <c r="J4" s="228"/>
    </row>
    <row r="5" spans="1:16" s="191" customFormat="1" ht="15.95" customHeight="1" x14ac:dyDescent="0.2">
      <c r="A5" s="118" t="s">
        <v>131</v>
      </c>
      <c r="B5" s="36"/>
      <c r="C5" s="36"/>
      <c r="D5" s="36"/>
      <c r="E5" s="385"/>
      <c r="F5" s="385"/>
      <c r="G5" s="404"/>
      <c r="J5" s="228"/>
    </row>
    <row r="6" spans="1:16" s="191" customFormat="1" ht="15.95" customHeight="1" x14ac:dyDescent="0.2">
      <c r="A6" s="118" t="s">
        <v>132</v>
      </c>
      <c r="B6" s="228"/>
      <c r="C6" s="228"/>
      <c r="D6" s="228"/>
      <c r="E6" s="42"/>
      <c r="F6" s="42"/>
      <c r="G6" s="385"/>
      <c r="J6" s="228"/>
    </row>
    <row r="7" spans="1:16" ht="16.5" customHeight="1" x14ac:dyDescent="0.2">
      <c r="A7" s="643" t="s">
        <v>515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355"/>
      <c r="O7" s="355"/>
      <c r="P7" s="355"/>
    </row>
    <row r="8" spans="1:16" ht="13.5" customHeight="1" x14ac:dyDescent="0.2">
      <c r="A8" s="658" t="s">
        <v>404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406"/>
      <c r="O8" s="406"/>
      <c r="P8" s="406"/>
    </row>
    <row r="9" spans="1:16" ht="20.100000000000001" customHeight="1" x14ac:dyDescent="0.2"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</row>
    <row r="10" spans="1:16" s="20" customFormat="1" ht="25.5" customHeight="1" x14ac:dyDescent="0.2">
      <c r="A10" s="669" t="s">
        <v>137</v>
      </c>
      <c r="B10" s="670"/>
      <c r="C10" s="670"/>
      <c r="D10" s="670"/>
      <c r="E10" s="671"/>
      <c r="F10" s="758" t="s">
        <v>134</v>
      </c>
      <c r="G10" s="761" t="s">
        <v>135</v>
      </c>
      <c r="H10" s="762"/>
      <c r="I10" s="763"/>
      <c r="J10" s="660" t="s">
        <v>136</v>
      </c>
      <c r="K10" s="669" t="s">
        <v>51</v>
      </c>
      <c r="L10" s="708"/>
      <c r="M10" s="709"/>
      <c r="N10" s="195"/>
      <c r="O10" s="106"/>
      <c r="P10" s="106"/>
    </row>
    <row r="11" spans="1:16" s="20" customFormat="1" ht="22.5" customHeight="1" x14ac:dyDescent="0.2">
      <c r="A11" s="666" t="s">
        <v>1</v>
      </c>
      <c r="B11" s="667"/>
      <c r="C11" s="667"/>
      <c r="D11" s="667"/>
      <c r="E11" s="668"/>
      <c r="F11" s="759"/>
      <c r="G11" s="660" t="s">
        <v>98</v>
      </c>
      <c r="H11" s="186" t="s">
        <v>125</v>
      </c>
      <c r="I11" s="660" t="s">
        <v>138</v>
      </c>
      <c r="J11" s="661"/>
      <c r="K11" s="710"/>
      <c r="L11" s="711"/>
      <c r="M11" s="712"/>
      <c r="N11" s="195"/>
      <c r="O11" s="195"/>
      <c r="P11" s="195"/>
    </row>
    <row r="12" spans="1:16" s="239" customFormat="1" ht="13.5" customHeight="1" x14ac:dyDescent="0.2">
      <c r="A12" s="230"/>
      <c r="B12" s="231"/>
      <c r="C12" s="231"/>
      <c r="D12" s="231"/>
      <c r="E12" s="232"/>
      <c r="F12" s="760"/>
      <c r="G12" s="672"/>
      <c r="H12" s="187"/>
      <c r="I12" s="662"/>
      <c r="J12" s="662"/>
      <c r="K12" s="710"/>
      <c r="L12" s="711"/>
      <c r="M12" s="712"/>
      <c r="N12" s="195"/>
      <c r="O12" s="195"/>
      <c r="P12" s="195"/>
    </row>
    <row r="13" spans="1:16" ht="21" customHeight="1" thickBot="1" x14ac:dyDescent="0.25">
      <c r="A13" s="130"/>
      <c r="B13" s="20"/>
      <c r="C13" s="96"/>
      <c r="D13" s="129"/>
      <c r="E13" s="96"/>
      <c r="F13" s="95" t="s">
        <v>490</v>
      </c>
      <c r="G13" s="96">
        <v>1.1990000000000001</v>
      </c>
      <c r="H13" s="479"/>
      <c r="I13" s="480" t="s">
        <v>570</v>
      </c>
      <c r="J13" s="210"/>
      <c r="K13" s="713"/>
      <c r="L13" s="714"/>
      <c r="M13" s="715"/>
      <c r="N13" s="195"/>
      <c r="O13" s="195"/>
      <c r="P13" s="195"/>
    </row>
    <row r="14" spans="1:16" s="18" customFormat="1" ht="12.6" customHeight="1" thickTop="1" x14ac:dyDescent="0.2">
      <c r="A14" s="188"/>
      <c r="B14" s="53" t="s">
        <v>22</v>
      </c>
      <c r="C14" s="49"/>
      <c r="D14" s="49"/>
      <c r="E14" s="50"/>
      <c r="F14" s="123"/>
      <c r="G14" s="124"/>
      <c r="H14" s="28"/>
      <c r="I14" s="28"/>
      <c r="J14" s="11"/>
      <c r="K14" s="24"/>
      <c r="L14" s="24"/>
      <c r="M14" s="24"/>
      <c r="N14" s="19"/>
      <c r="O14" s="218"/>
      <c r="P14" s="218"/>
    </row>
    <row r="15" spans="1:16" s="18" customFormat="1" ht="12.6" customHeight="1" x14ac:dyDescent="0.2">
      <c r="A15" s="55"/>
      <c r="B15" s="45" t="s">
        <v>20</v>
      </c>
      <c r="C15" s="48"/>
      <c r="D15" s="48"/>
      <c r="E15" s="29"/>
      <c r="F15" s="121"/>
      <c r="G15" s="55"/>
      <c r="H15" s="11"/>
      <c r="I15" s="11"/>
      <c r="J15" s="11"/>
      <c r="K15" s="11"/>
      <c r="L15" s="11"/>
      <c r="M15" s="11"/>
      <c r="N15" s="19"/>
      <c r="O15" s="218"/>
      <c r="P15" s="218"/>
    </row>
    <row r="16" spans="1:16" s="18" customFormat="1" ht="12.6" customHeight="1" x14ac:dyDescent="0.2">
      <c r="A16" s="376"/>
      <c r="B16" s="61" t="s">
        <v>45</v>
      </c>
      <c r="C16" s="62"/>
      <c r="D16" s="62"/>
      <c r="E16" s="63"/>
      <c r="F16" s="122"/>
      <c r="G16" s="376"/>
      <c r="H16" s="367"/>
      <c r="I16" s="367"/>
      <c r="J16" s="367"/>
      <c r="K16" s="367"/>
      <c r="L16" s="367"/>
      <c r="M16" s="367"/>
      <c r="N16" s="19"/>
      <c r="O16" s="107"/>
      <c r="P16" s="107"/>
    </row>
    <row r="17" spans="1:16" s="18" customFormat="1" ht="24.95" customHeight="1" x14ac:dyDescent="0.2">
      <c r="A17" s="726" t="s">
        <v>38</v>
      </c>
      <c r="B17" s="746" t="s">
        <v>158</v>
      </c>
      <c r="C17" s="747"/>
      <c r="D17" s="747"/>
      <c r="E17" s="748"/>
      <c r="F17" s="735" t="s">
        <v>21</v>
      </c>
      <c r="G17" s="726" t="s">
        <v>10</v>
      </c>
      <c r="H17" s="881">
        <v>4.5</v>
      </c>
      <c r="I17" s="722">
        <f>(ROUND(0.7*6600*1.6*1*(4.5^0.8)*80%*$G$13,2))/4.5</f>
        <v>5248.42</v>
      </c>
      <c r="J17" s="722">
        <f>H17*I17</f>
        <v>23617.89</v>
      </c>
      <c r="K17" s="684" t="s">
        <v>432</v>
      </c>
      <c r="L17" s="694"/>
      <c r="M17" s="695"/>
      <c r="N17" s="881">
        <v>4.5</v>
      </c>
      <c r="O17" s="722">
        <f>(ROUND(0.7*6600*1.6*1*(4.5^0.8)*100%*$G$13,2))/4.5</f>
        <v>6560.5266666666666</v>
      </c>
      <c r="P17" s="722">
        <f>N17*O17</f>
        <v>29522.37</v>
      </c>
    </row>
    <row r="18" spans="1:16" s="18" customFormat="1" ht="24.95" customHeight="1" x14ac:dyDescent="0.2">
      <c r="A18" s="771"/>
      <c r="B18" s="749"/>
      <c r="C18" s="750"/>
      <c r="D18" s="750"/>
      <c r="E18" s="751"/>
      <c r="F18" s="773"/>
      <c r="G18" s="771"/>
      <c r="H18" s="771"/>
      <c r="I18" s="744"/>
      <c r="J18" s="744"/>
      <c r="K18" s="885" t="s">
        <v>424</v>
      </c>
      <c r="L18" s="886"/>
      <c r="M18" s="887"/>
      <c r="N18" s="771"/>
      <c r="O18" s="744"/>
      <c r="P18" s="744"/>
    </row>
    <row r="19" spans="1:16" s="18" customFormat="1" ht="24.95" customHeight="1" x14ac:dyDescent="0.2">
      <c r="A19" s="771"/>
      <c r="B19" s="749"/>
      <c r="C19" s="750"/>
      <c r="D19" s="750"/>
      <c r="E19" s="751"/>
      <c r="F19" s="773"/>
      <c r="G19" s="771"/>
      <c r="H19" s="771"/>
      <c r="I19" s="744"/>
      <c r="J19" s="744"/>
      <c r="K19" s="696" t="s">
        <v>160</v>
      </c>
      <c r="L19" s="697"/>
      <c r="M19" s="698"/>
      <c r="N19" s="771"/>
      <c r="O19" s="744"/>
      <c r="P19" s="744"/>
    </row>
    <row r="20" spans="1:16" s="18" customFormat="1" ht="24.95" customHeight="1" x14ac:dyDescent="0.2">
      <c r="A20" s="771"/>
      <c r="B20" s="749"/>
      <c r="C20" s="750"/>
      <c r="D20" s="750"/>
      <c r="E20" s="751"/>
      <c r="F20" s="773"/>
      <c r="G20" s="771"/>
      <c r="H20" s="771"/>
      <c r="I20" s="744"/>
      <c r="J20" s="744"/>
      <c r="K20" s="696" t="s">
        <v>73</v>
      </c>
      <c r="L20" s="697"/>
      <c r="M20" s="698"/>
      <c r="N20" s="771"/>
      <c r="O20" s="744"/>
      <c r="P20" s="744"/>
    </row>
    <row r="21" spans="1:16" s="18" customFormat="1" ht="24.95" customHeight="1" x14ac:dyDescent="0.2">
      <c r="A21" s="771"/>
      <c r="B21" s="749"/>
      <c r="C21" s="750"/>
      <c r="D21" s="750"/>
      <c r="E21" s="751"/>
      <c r="F21" s="773"/>
      <c r="G21" s="771"/>
      <c r="H21" s="771"/>
      <c r="I21" s="744"/>
      <c r="J21" s="744"/>
      <c r="K21" s="696" t="s">
        <v>362</v>
      </c>
      <c r="L21" s="697"/>
      <c r="M21" s="698"/>
      <c r="N21" s="771"/>
      <c r="O21" s="744"/>
      <c r="P21" s="744"/>
    </row>
    <row r="22" spans="1:16" s="18" customFormat="1" ht="24.95" customHeight="1" x14ac:dyDescent="0.2">
      <c r="A22" s="771"/>
      <c r="B22" s="749"/>
      <c r="C22" s="750"/>
      <c r="D22" s="750"/>
      <c r="E22" s="751"/>
      <c r="F22" s="773"/>
      <c r="G22" s="771"/>
      <c r="H22" s="771"/>
      <c r="I22" s="744"/>
      <c r="J22" s="744"/>
      <c r="K22" s="696" t="s">
        <v>159</v>
      </c>
      <c r="L22" s="697"/>
      <c r="M22" s="698"/>
      <c r="N22" s="771"/>
      <c r="O22" s="744"/>
      <c r="P22" s="744"/>
    </row>
    <row r="23" spans="1:16" s="18" customFormat="1" ht="24.95" customHeight="1" x14ac:dyDescent="0.2">
      <c r="A23" s="772"/>
      <c r="B23" s="752"/>
      <c r="C23" s="753"/>
      <c r="D23" s="753"/>
      <c r="E23" s="754"/>
      <c r="F23" s="774"/>
      <c r="G23" s="772"/>
      <c r="H23" s="772"/>
      <c r="I23" s="745"/>
      <c r="J23" s="745"/>
      <c r="K23" s="696" t="s">
        <v>118</v>
      </c>
      <c r="L23" s="697"/>
      <c r="M23" s="698"/>
      <c r="N23" s="772"/>
      <c r="O23" s="745"/>
      <c r="P23" s="745"/>
    </row>
    <row r="24" spans="1:16" s="18" customFormat="1" ht="15" customHeight="1" x14ac:dyDescent="0.2">
      <c r="A24" s="505"/>
      <c r="B24" s="500"/>
      <c r="C24" s="500"/>
      <c r="D24" s="500"/>
      <c r="E24" s="500"/>
      <c r="F24" s="499"/>
      <c r="G24" s="505"/>
      <c r="H24" s="218"/>
      <c r="I24" s="501"/>
      <c r="J24" s="501"/>
      <c r="K24" s="17"/>
      <c r="L24" s="503"/>
      <c r="M24" s="503"/>
      <c r="N24" s="503"/>
      <c r="O24" s="218"/>
      <c r="P24" s="218"/>
    </row>
    <row r="25" spans="1:16" s="504" customFormat="1" ht="13.5" x14ac:dyDescent="0.25">
      <c r="A25" s="882" t="s">
        <v>493</v>
      </c>
      <c r="B25" s="883"/>
      <c r="C25" s="883"/>
      <c r="D25" s="883"/>
      <c r="E25" s="883"/>
      <c r="F25" s="883"/>
      <c r="G25" s="883"/>
      <c r="H25" s="883"/>
      <c r="I25" s="884"/>
      <c r="J25" s="552">
        <f>P17</f>
        <v>29522.37</v>
      </c>
      <c r="K25" s="447"/>
      <c r="L25" s="447"/>
      <c r="M25" s="447"/>
    </row>
    <row r="26" spans="1:16" s="504" customFormat="1" x14ac:dyDescent="0.2">
      <c r="A26" s="516"/>
      <c r="B26" s="517"/>
      <c r="C26" s="518"/>
      <c r="D26" s="518"/>
      <c r="E26" s="519"/>
      <c r="F26" s="520"/>
      <c r="G26" s="521"/>
      <c r="H26" s="522"/>
      <c r="I26" s="522"/>
      <c r="J26" s="523"/>
      <c r="K26" s="447"/>
      <c r="L26" s="447"/>
      <c r="M26" s="447"/>
    </row>
    <row r="27" spans="1:16" s="504" customFormat="1" ht="25.5" customHeight="1" x14ac:dyDescent="0.25">
      <c r="A27" s="882" t="s">
        <v>516</v>
      </c>
      <c r="B27" s="883"/>
      <c r="C27" s="883"/>
      <c r="D27" s="883"/>
      <c r="E27" s="883"/>
      <c r="F27" s="883"/>
      <c r="G27" s="883"/>
      <c r="H27" s="883"/>
      <c r="I27" s="884"/>
      <c r="J27" s="532">
        <f>J17</f>
        <v>23617.89</v>
      </c>
      <c r="K27" s="447"/>
      <c r="L27" s="447"/>
      <c r="M27" s="447"/>
    </row>
    <row r="28" spans="1:16" ht="15" customHeight="1" x14ac:dyDescent="0.2">
      <c r="A28" s="683"/>
      <c r="B28" s="683"/>
      <c r="C28" s="683"/>
      <c r="D28" s="683"/>
      <c r="E28" s="683"/>
      <c r="F28" s="373"/>
      <c r="G28" s="356"/>
      <c r="H28" s="3"/>
      <c r="K28" s="239"/>
      <c r="L28" s="239"/>
      <c r="M28" s="239"/>
      <c r="N28" s="43"/>
    </row>
    <row r="29" spans="1:16" ht="15" customHeight="1" x14ac:dyDescent="0.2">
      <c r="A29" s="683"/>
      <c r="B29" s="683"/>
      <c r="C29" s="683"/>
      <c r="D29" s="683"/>
      <c r="E29" s="683"/>
      <c r="F29" s="373"/>
      <c r="G29" s="356"/>
      <c r="H29" s="3"/>
      <c r="K29" s="239"/>
      <c r="L29" s="239"/>
      <c r="M29" s="239"/>
      <c r="N29" s="356"/>
    </row>
    <row r="30" spans="1:16" ht="15" customHeight="1" x14ac:dyDescent="0.2">
      <c r="A30" s="682"/>
      <c r="B30" s="682"/>
      <c r="C30" s="682"/>
      <c r="D30" s="682"/>
      <c r="E30" s="682"/>
      <c r="F30" s="374"/>
      <c r="G30" s="373"/>
      <c r="H30" s="683"/>
      <c r="I30" s="683"/>
      <c r="J30" s="683"/>
      <c r="K30" s="683"/>
      <c r="L30" s="224"/>
      <c r="M30" s="373"/>
      <c r="N30" s="356"/>
    </row>
    <row r="31" spans="1:16" ht="12.75" customHeight="1" x14ac:dyDescent="0.2">
      <c r="A31" s="374"/>
      <c r="B31" s="374"/>
      <c r="C31" s="374"/>
      <c r="D31" s="374"/>
      <c r="E31" s="374"/>
      <c r="F31" s="374"/>
      <c r="G31" s="373"/>
      <c r="H31" s="683"/>
      <c r="I31" s="683"/>
      <c r="J31" s="683"/>
      <c r="K31" s="683"/>
      <c r="L31" s="224"/>
      <c r="M31" s="142"/>
      <c r="N31" s="356"/>
    </row>
    <row r="32" spans="1:16" ht="13.5" x14ac:dyDescent="0.2">
      <c r="B32" s="766"/>
      <c r="C32" s="766"/>
      <c r="D32" s="767"/>
      <c r="E32" s="768"/>
      <c r="F32" s="26"/>
      <c r="G32" s="374"/>
      <c r="H32" s="682"/>
      <c r="I32" s="682"/>
      <c r="J32" s="682"/>
      <c r="K32" s="682"/>
      <c r="L32" s="225"/>
      <c r="M32" s="374"/>
      <c r="N32" s="356"/>
    </row>
    <row r="33" spans="1:14" ht="13.5" x14ac:dyDescent="0.2">
      <c r="B33" s="659"/>
      <c r="C33" s="659"/>
      <c r="D33" s="659"/>
      <c r="E33" s="659"/>
      <c r="F33" s="26"/>
      <c r="G33" s="374"/>
      <c r="H33" s="374"/>
      <c r="I33" s="374"/>
      <c r="J33" s="374"/>
      <c r="K33" s="374"/>
      <c r="L33" s="225"/>
      <c r="M33" s="374"/>
      <c r="N33" s="356"/>
    </row>
    <row r="34" spans="1:14" x14ac:dyDescent="0.2">
      <c r="B34" s="371"/>
      <c r="C34" s="371"/>
      <c r="D34" s="371"/>
      <c r="F34" s="26"/>
      <c r="G34" s="26"/>
      <c r="H34" s="356"/>
      <c r="I34" s="659"/>
      <c r="J34" s="659"/>
      <c r="K34" s="356"/>
      <c r="L34" s="239"/>
      <c r="M34" s="5"/>
      <c r="N34" s="356"/>
    </row>
    <row r="35" spans="1:14" x14ac:dyDescent="0.2">
      <c r="B35" s="371"/>
      <c r="C35" s="371"/>
      <c r="D35" s="371"/>
      <c r="F35" s="26"/>
      <c r="G35" s="26"/>
      <c r="H35" s="356"/>
      <c r="I35" s="659"/>
      <c r="J35" s="659"/>
      <c r="K35" s="770"/>
      <c r="L35" s="239"/>
      <c r="M35" s="5"/>
      <c r="N35" s="239"/>
    </row>
    <row r="36" spans="1:14" x14ac:dyDescent="0.2">
      <c r="B36" s="659"/>
      <c r="C36" s="659"/>
      <c r="D36" s="769"/>
      <c r="E36" s="769"/>
      <c r="F36" s="26"/>
      <c r="G36" s="26"/>
      <c r="H36" s="371"/>
      <c r="I36" s="371"/>
      <c r="J36" s="371"/>
      <c r="K36" s="371"/>
      <c r="L36" s="239"/>
      <c r="M36" s="2"/>
      <c r="N36" s="356"/>
    </row>
    <row r="37" spans="1:14" x14ac:dyDescent="0.2">
      <c r="B37" s="356"/>
      <c r="C37" s="356"/>
      <c r="D37" s="370"/>
      <c r="E37" s="370"/>
      <c r="F37" s="26"/>
      <c r="G37" s="26"/>
      <c r="H37" s="371"/>
      <c r="I37" s="371"/>
      <c r="J37" s="371"/>
      <c r="K37" s="371"/>
      <c r="L37" s="239"/>
      <c r="M37" s="2"/>
      <c r="N37" s="356"/>
    </row>
    <row r="38" spans="1:14" x14ac:dyDescent="0.2">
      <c r="B38" s="356"/>
      <c r="C38" s="356"/>
      <c r="D38" s="371"/>
      <c r="E38" s="371"/>
      <c r="F38" s="356"/>
      <c r="G38" s="26"/>
      <c r="H38" s="356"/>
      <c r="I38" s="659"/>
      <c r="J38" s="659"/>
      <c r="K38" s="659"/>
      <c r="L38" s="239"/>
      <c r="M38" s="2"/>
      <c r="N38" s="356"/>
    </row>
    <row r="39" spans="1:14" x14ac:dyDescent="0.2">
      <c r="A39" s="43"/>
      <c r="B39" s="43"/>
      <c r="C39" s="43"/>
      <c r="D39" s="43"/>
      <c r="E39" s="43"/>
      <c r="F39" s="43"/>
      <c r="G39" s="26"/>
      <c r="H39" s="356"/>
      <c r="I39" s="356"/>
      <c r="J39" s="356"/>
      <c r="K39" s="356"/>
      <c r="L39" s="239"/>
      <c r="M39" s="2"/>
      <c r="N39" s="402"/>
    </row>
    <row r="40" spans="1:14" x14ac:dyDescent="0.2">
      <c r="C40" s="356"/>
      <c r="D40" s="356"/>
      <c r="E40" s="356"/>
      <c r="F40" s="362"/>
      <c r="G40" s="371"/>
      <c r="H40" s="371"/>
      <c r="I40" s="371"/>
      <c r="J40" s="371"/>
      <c r="K40" s="371"/>
      <c r="L40" s="371"/>
      <c r="M40" s="4"/>
    </row>
    <row r="41" spans="1:14" x14ac:dyDescent="0.2">
      <c r="B41" s="356"/>
      <c r="C41" s="356"/>
      <c r="D41" s="356"/>
      <c r="E41" s="356"/>
      <c r="F41" s="26"/>
      <c r="G41" s="43"/>
      <c r="H41" s="43"/>
      <c r="I41" s="43"/>
      <c r="J41" s="43"/>
      <c r="K41" s="43"/>
      <c r="L41" s="43"/>
      <c r="M41" s="43"/>
      <c r="N41" s="354"/>
    </row>
    <row r="42" spans="1:14" x14ac:dyDescent="0.2">
      <c r="G42" s="362"/>
      <c r="H42" s="362"/>
      <c r="I42" s="362"/>
      <c r="J42" s="362"/>
      <c r="K42" s="356"/>
      <c r="L42" s="356"/>
      <c r="M42" s="356"/>
      <c r="N42" s="354"/>
    </row>
    <row r="43" spans="1:14" x14ac:dyDescent="0.2">
      <c r="G43" s="356"/>
      <c r="H43" s="356"/>
      <c r="I43" s="356"/>
      <c r="J43" s="356"/>
      <c r="K43" s="356"/>
      <c r="L43" s="371"/>
      <c r="M43" s="356"/>
    </row>
  </sheetData>
  <mergeCells count="47">
    <mergeCell ref="A30:B30"/>
    <mergeCell ref="C30:E30"/>
    <mergeCell ref="H30:I30"/>
    <mergeCell ref="J30:K30"/>
    <mergeCell ref="H31:I31"/>
    <mergeCell ref="J31:K31"/>
    <mergeCell ref="B36:E36"/>
    <mergeCell ref="I38:K38"/>
    <mergeCell ref="B32:E32"/>
    <mergeCell ref="H32:I32"/>
    <mergeCell ref="J32:K32"/>
    <mergeCell ref="B33:E33"/>
    <mergeCell ref="I34:J34"/>
    <mergeCell ref="I35:K35"/>
    <mergeCell ref="A27:I27"/>
    <mergeCell ref="A28:B28"/>
    <mergeCell ref="C28:E28"/>
    <mergeCell ref="A29:B29"/>
    <mergeCell ref="C29:E29"/>
    <mergeCell ref="A25:I25"/>
    <mergeCell ref="A17:A23"/>
    <mergeCell ref="B17:E23"/>
    <mergeCell ref="F17:F23"/>
    <mergeCell ref="K23:M23"/>
    <mergeCell ref="G17:G23"/>
    <mergeCell ref="H17:H23"/>
    <mergeCell ref="I17:I23"/>
    <mergeCell ref="J17:J23"/>
    <mergeCell ref="K17:M17"/>
    <mergeCell ref="K18:M18"/>
    <mergeCell ref="K19:M19"/>
    <mergeCell ref="K20:M20"/>
    <mergeCell ref="K21:M21"/>
    <mergeCell ref="K22:M22"/>
    <mergeCell ref="P17:P23"/>
    <mergeCell ref="A7:M7"/>
    <mergeCell ref="A8:M8"/>
    <mergeCell ref="A10:E10"/>
    <mergeCell ref="F10:F12"/>
    <mergeCell ref="G10:I10"/>
    <mergeCell ref="J10:J12"/>
    <mergeCell ref="K10:M13"/>
    <mergeCell ref="A11:E11"/>
    <mergeCell ref="G11:G12"/>
    <mergeCell ref="I11:I12"/>
    <mergeCell ref="N17:N23"/>
    <mergeCell ref="O17:O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selection activeCell="I12" sqref="I12"/>
    </sheetView>
  </sheetViews>
  <sheetFormatPr defaultColWidth="9.140625" defaultRowHeight="12.75" x14ac:dyDescent="0.2"/>
  <cols>
    <col min="1" max="1" width="4.28515625" style="35" customWidth="1"/>
    <col min="2" max="2" width="5.85546875" style="26" customWidth="1"/>
    <col min="3" max="3" width="4" style="26" customWidth="1"/>
    <col min="4" max="4" width="5.140625" style="26" customWidth="1"/>
    <col min="5" max="5" width="6" style="26" customWidth="1"/>
    <col min="6" max="6" width="6" style="34" customWidth="1"/>
    <col min="7" max="7" width="7.85546875" style="35" customWidth="1"/>
    <col min="8" max="8" width="8.42578125" style="26" customWidth="1"/>
    <col min="9" max="9" width="8.140625" style="26" customWidth="1"/>
    <col min="10" max="10" width="10.85546875" style="26" customWidth="1"/>
    <col min="11" max="11" width="9" style="26" customWidth="1"/>
    <col min="12" max="12" width="8.85546875" style="26" customWidth="1"/>
    <col min="13" max="13" width="13" style="26" customWidth="1"/>
    <col min="14" max="14" width="11.85546875" style="26" customWidth="1"/>
    <col min="15" max="15" width="13.5703125" style="26" customWidth="1"/>
    <col min="16" max="16" width="9.140625" style="26"/>
    <col min="17" max="17" width="13.7109375" style="26" customWidth="1"/>
    <col min="18" max="16384" width="9.140625" style="26"/>
  </cols>
  <sheetData>
    <row r="1" spans="1:16" s="191" customFormat="1" ht="15.95" customHeight="1" x14ac:dyDescent="0.2">
      <c r="A1" s="118" t="s">
        <v>128</v>
      </c>
      <c r="B1" s="36"/>
      <c r="C1" s="36"/>
      <c r="D1" s="36"/>
      <c r="E1" s="385"/>
      <c r="F1" s="385"/>
      <c r="G1" s="404"/>
      <c r="J1" s="228"/>
    </row>
    <row r="2" spans="1:16" s="191" customFormat="1" ht="15.95" customHeight="1" x14ac:dyDescent="0.2">
      <c r="A2" s="118" t="s">
        <v>129</v>
      </c>
      <c r="B2" s="36"/>
      <c r="C2" s="36"/>
      <c r="D2" s="36"/>
      <c r="E2" s="385"/>
      <c r="F2" s="385"/>
      <c r="G2" s="404"/>
      <c r="I2" s="110"/>
      <c r="J2" s="228"/>
    </row>
    <row r="3" spans="1:16" s="191" customFormat="1" ht="15.95" customHeight="1" x14ac:dyDescent="0.2">
      <c r="A3" s="118" t="s">
        <v>130</v>
      </c>
      <c r="B3" s="36"/>
      <c r="C3" s="36"/>
      <c r="D3" s="36"/>
      <c r="E3" s="385"/>
      <c r="F3" s="385"/>
      <c r="G3" s="404"/>
      <c r="J3" s="228"/>
    </row>
    <row r="4" spans="1:16" s="191" customFormat="1" ht="15.95" customHeight="1" x14ac:dyDescent="0.2">
      <c r="A4" s="118" t="s">
        <v>131</v>
      </c>
      <c r="B4" s="36"/>
      <c r="C4" s="36"/>
      <c r="D4" s="36"/>
      <c r="E4" s="385"/>
      <c r="F4" s="385"/>
      <c r="G4" s="404"/>
      <c r="J4" s="228"/>
    </row>
    <row r="5" spans="1:16" s="191" customFormat="1" ht="15.95" customHeight="1" x14ac:dyDescent="0.2">
      <c r="A5" s="118" t="s">
        <v>132</v>
      </c>
      <c r="B5" s="228"/>
      <c r="C5" s="228"/>
      <c r="D5" s="228"/>
      <c r="E5" s="42"/>
      <c r="F5" s="42"/>
      <c r="G5" s="385"/>
      <c r="J5" s="228"/>
    </row>
    <row r="6" spans="1:16" ht="16.5" customHeight="1" x14ac:dyDescent="0.2">
      <c r="A6" s="643" t="s">
        <v>520</v>
      </c>
      <c r="B6" s="643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643"/>
      <c r="N6" s="355"/>
      <c r="O6" s="355"/>
      <c r="P6" s="355"/>
    </row>
    <row r="7" spans="1:16" ht="13.5" customHeight="1" x14ac:dyDescent="0.2">
      <c r="A7" s="658" t="s">
        <v>404</v>
      </c>
      <c r="B7" s="658"/>
      <c r="C7" s="658"/>
      <c r="D7" s="658"/>
      <c r="E7" s="658"/>
      <c r="F7" s="658"/>
      <c r="G7" s="658"/>
      <c r="H7" s="658"/>
      <c r="I7" s="658"/>
      <c r="J7" s="658"/>
      <c r="K7" s="658"/>
      <c r="L7" s="658"/>
      <c r="M7" s="658"/>
      <c r="N7" s="406"/>
      <c r="O7" s="406"/>
      <c r="P7" s="406"/>
    </row>
    <row r="8" spans="1:16" ht="14.25" customHeight="1" x14ac:dyDescent="0.2"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</row>
    <row r="9" spans="1:16" s="20" customFormat="1" ht="18" customHeight="1" x14ac:dyDescent="0.2">
      <c r="A9" s="669" t="s">
        <v>137</v>
      </c>
      <c r="B9" s="670"/>
      <c r="C9" s="670"/>
      <c r="D9" s="670"/>
      <c r="E9" s="671"/>
      <c r="F9" s="758" t="s">
        <v>134</v>
      </c>
      <c r="G9" s="761" t="s">
        <v>135</v>
      </c>
      <c r="H9" s="762"/>
      <c r="I9" s="763"/>
      <c r="J9" s="660" t="s">
        <v>136</v>
      </c>
      <c r="K9" s="669" t="s">
        <v>51</v>
      </c>
      <c r="L9" s="708"/>
      <c r="M9" s="709"/>
      <c r="N9" s="195"/>
      <c r="O9" s="106"/>
      <c r="P9" s="106"/>
    </row>
    <row r="10" spans="1:16" s="20" customFormat="1" ht="23.25" customHeight="1" x14ac:dyDescent="0.2">
      <c r="A10" s="666" t="s">
        <v>1</v>
      </c>
      <c r="B10" s="667"/>
      <c r="C10" s="667"/>
      <c r="D10" s="667"/>
      <c r="E10" s="668"/>
      <c r="F10" s="759"/>
      <c r="G10" s="660" t="s">
        <v>98</v>
      </c>
      <c r="H10" s="186" t="s">
        <v>125</v>
      </c>
      <c r="I10" s="660" t="s">
        <v>138</v>
      </c>
      <c r="J10" s="661"/>
      <c r="K10" s="710"/>
      <c r="L10" s="711"/>
      <c r="M10" s="712"/>
      <c r="N10" s="195"/>
      <c r="O10" s="195"/>
      <c r="P10" s="195"/>
    </row>
    <row r="11" spans="1:16" s="239" customFormat="1" ht="13.5" customHeight="1" x14ac:dyDescent="0.2">
      <c r="A11" s="230"/>
      <c r="B11" s="231"/>
      <c r="C11" s="231"/>
      <c r="D11" s="231"/>
      <c r="E11" s="232"/>
      <c r="F11" s="760"/>
      <c r="G11" s="672"/>
      <c r="H11" s="187"/>
      <c r="I11" s="662"/>
      <c r="J11" s="662"/>
      <c r="K11" s="710"/>
      <c r="L11" s="711"/>
      <c r="M11" s="712"/>
      <c r="N11" s="195"/>
      <c r="O11" s="195"/>
      <c r="P11" s="195"/>
    </row>
    <row r="12" spans="1:16" ht="15" customHeight="1" x14ac:dyDescent="0.2">
      <c r="A12" s="130"/>
      <c r="B12" s="20"/>
      <c r="C12" s="96"/>
      <c r="D12" s="129"/>
      <c r="E12" s="96"/>
      <c r="F12" s="95" t="s">
        <v>490</v>
      </c>
      <c r="G12" s="96">
        <v>1.1990000000000001</v>
      </c>
      <c r="H12" s="479"/>
      <c r="I12" s="480" t="s">
        <v>570</v>
      </c>
      <c r="J12" s="210"/>
      <c r="K12" s="713"/>
      <c r="L12" s="714"/>
      <c r="M12" s="715"/>
      <c r="N12" s="195"/>
      <c r="O12" s="195"/>
      <c r="P12" s="195"/>
    </row>
    <row r="13" spans="1:16" s="18" customFormat="1" ht="21" customHeight="1" x14ac:dyDescent="0.2">
      <c r="A13" s="108"/>
      <c r="B13" s="321" t="s">
        <v>566</v>
      </c>
      <c r="C13" s="283"/>
      <c r="D13" s="283"/>
      <c r="E13" s="284"/>
      <c r="F13" s="382"/>
      <c r="G13" s="383"/>
      <c r="H13" s="368"/>
      <c r="I13" s="368"/>
      <c r="J13" s="368"/>
      <c r="K13" s="368"/>
      <c r="L13" s="368"/>
      <c r="M13" s="368"/>
      <c r="N13" s="19"/>
      <c r="O13" s="109"/>
      <c r="P13" s="109"/>
    </row>
    <row r="14" spans="1:16" s="18" customFormat="1" ht="15" customHeight="1" x14ac:dyDescent="0.2">
      <c r="A14" s="359" t="s">
        <v>185</v>
      </c>
      <c r="B14" s="746" t="s">
        <v>342</v>
      </c>
      <c r="C14" s="747"/>
      <c r="D14" s="747"/>
      <c r="E14" s="748"/>
      <c r="F14" s="735" t="s">
        <v>186</v>
      </c>
      <c r="G14" s="726" t="s">
        <v>187</v>
      </c>
      <c r="H14" s="741">
        <v>0.67500000000000004</v>
      </c>
      <c r="I14" s="722">
        <f>ROUND(9250*(0.675^0.6)*$G$12/0.675,2)</f>
        <v>12978.95</v>
      </c>
      <c r="J14" s="722">
        <f>H14*I14</f>
        <v>8760.7912500000002</v>
      </c>
      <c r="K14" s="428" t="s">
        <v>188</v>
      </c>
      <c r="L14" s="428"/>
      <c r="M14" s="428"/>
      <c r="N14" s="19"/>
      <c r="O14" s="195"/>
      <c r="P14" s="195"/>
    </row>
    <row r="15" spans="1:16" s="18" customFormat="1" ht="15" customHeight="1" x14ac:dyDescent="0.2">
      <c r="A15" s="383"/>
      <c r="B15" s="749"/>
      <c r="C15" s="889"/>
      <c r="D15" s="889"/>
      <c r="E15" s="751"/>
      <c r="F15" s="773"/>
      <c r="G15" s="771"/>
      <c r="H15" s="771"/>
      <c r="I15" s="744"/>
      <c r="J15" s="744"/>
      <c r="K15" s="11" t="s">
        <v>341</v>
      </c>
      <c r="L15" s="11"/>
      <c r="M15" s="11"/>
      <c r="N15" s="19"/>
      <c r="O15" s="107"/>
      <c r="P15" s="107"/>
    </row>
    <row r="16" spans="1:16" s="18" customFormat="1" ht="15" customHeight="1" x14ac:dyDescent="0.2">
      <c r="A16" s="383"/>
      <c r="B16" s="749"/>
      <c r="C16" s="889"/>
      <c r="D16" s="889"/>
      <c r="E16" s="751"/>
      <c r="F16" s="773"/>
      <c r="G16" s="771"/>
      <c r="H16" s="771"/>
      <c r="I16" s="744"/>
      <c r="J16" s="744"/>
      <c r="K16" s="11" t="s">
        <v>409</v>
      </c>
      <c r="L16" s="11"/>
      <c r="M16" s="11"/>
      <c r="N16" s="19"/>
      <c r="O16" s="218"/>
      <c r="P16" s="218"/>
    </row>
    <row r="17" spans="1:16" s="18" customFormat="1" ht="15" customHeight="1" x14ac:dyDescent="0.2">
      <c r="A17" s="383"/>
      <c r="B17" s="749"/>
      <c r="C17" s="889"/>
      <c r="D17" s="889"/>
      <c r="E17" s="751"/>
      <c r="F17" s="773"/>
      <c r="G17" s="771"/>
      <c r="H17" s="771"/>
      <c r="I17" s="744"/>
      <c r="J17" s="744"/>
      <c r="K17" s="11" t="s">
        <v>189</v>
      </c>
      <c r="L17" s="11"/>
      <c r="M17" s="11"/>
      <c r="N17" s="19"/>
      <c r="O17" s="218">
        <f>4.5*0.15</f>
        <v>0.67499999999999993</v>
      </c>
      <c r="P17" s="218"/>
    </row>
    <row r="18" spans="1:16" s="18" customFormat="1" ht="18.75" customHeight="1" x14ac:dyDescent="0.2">
      <c r="A18" s="384"/>
      <c r="B18" s="752"/>
      <c r="C18" s="753"/>
      <c r="D18" s="753"/>
      <c r="E18" s="754"/>
      <c r="F18" s="774"/>
      <c r="G18" s="772"/>
      <c r="H18" s="772"/>
      <c r="I18" s="745"/>
      <c r="J18" s="745"/>
      <c r="K18" s="60" t="s">
        <v>190</v>
      </c>
      <c r="L18" s="60"/>
      <c r="M18" s="60"/>
      <c r="N18" s="19"/>
      <c r="O18" s="285"/>
      <c r="P18" s="19"/>
    </row>
    <row r="19" spans="1:16" s="18" customFormat="1" ht="15" customHeight="1" x14ac:dyDescent="0.2">
      <c r="A19" s="359" t="s">
        <v>191</v>
      </c>
      <c r="B19" s="729" t="s">
        <v>192</v>
      </c>
      <c r="C19" s="689"/>
      <c r="D19" s="689"/>
      <c r="E19" s="690"/>
      <c r="F19" s="735" t="s">
        <v>193</v>
      </c>
      <c r="G19" s="726" t="s">
        <v>10</v>
      </c>
      <c r="H19" s="881">
        <v>4.5</v>
      </c>
      <c r="I19" s="722">
        <f>ROUND(((9250*(0.15^0.6)*14%*4.5)/4.5+(3*20))*$G$12,2)</f>
        <v>569.38</v>
      </c>
      <c r="J19" s="722">
        <f>H19*I19</f>
        <v>2562.21</v>
      </c>
      <c r="K19" s="428" t="s">
        <v>194</v>
      </c>
      <c r="L19" s="428"/>
      <c r="M19" s="428"/>
      <c r="N19" s="19"/>
      <c r="O19" s="19"/>
      <c r="P19" s="19"/>
    </row>
    <row r="20" spans="1:16" s="18" customFormat="1" ht="15" customHeight="1" x14ac:dyDescent="0.2">
      <c r="A20" s="383"/>
      <c r="B20" s="764"/>
      <c r="C20" s="692"/>
      <c r="D20" s="692"/>
      <c r="E20" s="693"/>
      <c r="F20" s="773"/>
      <c r="G20" s="771"/>
      <c r="H20" s="771"/>
      <c r="I20" s="744"/>
      <c r="J20" s="744"/>
      <c r="K20" s="11" t="s">
        <v>410</v>
      </c>
      <c r="L20" s="11"/>
      <c r="M20" s="11"/>
      <c r="N20" s="19"/>
      <c r="O20" s="19"/>
      <c r="P20" s="19"/>
    </row>
    <row r="21" spans="1:16" s="18" customFormat="1" ht="15" customHeight="1" x14ac:dyDescent="0.2">
      <c r="A21" s="383"/>
      <c r="B21" s="764"/>
      <c r="C21" s="692"/>
      <c r="D21" s="692"/>
      <c r="E21" s="693"/>
      <c r="F21" s="773"/>
      <c r="G21" s="771"/>
      <c r="H21" s="771"/>
      <c r="I21" s="744"/>
      <c r="J21" s="744"/>
      <c r="K21" s="11" t="s">
        <v>343</v>
      </c>
      <c r="L21" s="11"/>
      <c r="M21" s="11"/>
      <c r="N21" s="19"/>
      <c r="O21" s="19"/>
      <c r="P21" s="19"/>
    </row>
    <row r="22" spans="1:16" s="18" customFormat="1" ht="15" customHeight="1" x14ac:dyDescent="0.2">
      <c r="A22" s="383"/>
      <c r="B22" s="764"/>
      <c r="C22" s="692"/>
      <c r="D22" s="692"/>
      <c r="E22" s="693"/>
      <c r="F22" s="773"/>
      <c r="G22" s="771"/>
      <c r="H22" s="771"/>
      <c r="I22" s="744"/>
      <c r="J22" s="744"/>
      <c r="K22" s="11" t="s">
        <v>426</v>
      </c>
      <c r="L22" s="11"/>
      <c r="M22" s="11"/>
      <c r="N22" s="19"/>
      <c r="O22" s="19"/>
      <c r="P22" s="19"/>
    </row>
    <row r="23" spans="1:16" s="18" customFormat="1" ht="15" customHeight="1" x14ac:dyDescent="0.2">
      <c r="A23" s="384"/>
      <c r="B23" s="779"/>
      <c r="C23" s="780"/>
      <c r="D23" s="780"/>
      <c r="E23" s="781"/>
      <c r="F23" s="774"/>
      <c r="G23" s="772"/>
      <c r="H23" s="772"/>
      <c r="I23" s="745"/>
      <c r="J23" s="745"/>
      <c r="K23" s="60" t="s">
        <v>195</v>
      </c>
      <c r="L23" s="60"/>
      <c r="M23" s="60"/>
      <c r="N23" s="19"/>
      <c r="O23" s="19"/>
      <c r="P23" s="19"/>
    </row>
    <row r="24" spans="1:16" s="18" customFormat="1" ht="15" customHeight="1" x14ac:dyDescent="0.2">
      <c r="A24" s="383" t="s">
        <v>196</v>
      </c>
      <c r="B24" s="888" t="s">
        <v>197</v>
      </c>
      <c r="C24" s="689"/>
      <c r="D24" s="689"/>
      <c r="E24" s="690"/>
      <c r="F24" s="735" t="s">
        <v>198</v>
      </c>
      <c r="G24" s="726" t="s">
        <v>199</v>
      </c>
      <c r="H24" s="881">
        <v>1000</v>
      </c>
      <c r="I24" s="722">
        <f>ROUND(((1.07*1)+(3*0))*$G$12,2)</f>
        <v>1.28</v>
      </c>
      <c r="J24" s="722">
        <f>H24*I24</f>
        <v>1280</v>
      </c>
      <c r="K24" s="24" t="s">
        <v>200</v>
      </c>
      <c r="L24" s="24"/>
      <c r="M24" s="24"/>
      <c r="N24" s="19"/>
      <c r="O24" s="17"/>
      <c r="P24" s="17"/>
    </row>
    <row r="25" spans="1:16" s="18" customFormat="1" ht="24" customHeight="1" x14ac:dyDescent="0.2">
      <c r="A25" s="383"/>
      <c r="B25" s="764"/>
      <c r="C25" s="692"/>
      <c r="D25" s="692"/>
      <c r="E25" s="693"/>
      <c r="F25" s="773"/>
      <c r="G25" s="771"/>
      <c r="H25" s="771"/>
      <c r="I25" s="744"/>
      <c r="J25" s="744"/>
      <c r="K25" s="696" t="s">
        <v>363</v>
      </c>
      <c r="L25" s="805"/>
      <c r="M25" s="806"/>
      <c r="N25" s="19"/>
      <c r="O25" s="17"/>
      <c r="P25" s="17"/>
    </row>
    <row r="26" spans="1:16" s="18" customFormat="1" ht="12.75" customHeight="1" x14ac:dyDescent="0.2">
      <c r="A26" s="383"/>
      <c r="B26" s="764"/>
      <c r="C26" s="692"/>
      <c r="D26" s="692"/>
      <c r="E26" s="693"/>
      <c r="F26" s="773"/>
      <c r="G26" s="771"/>
      <c r="H26" s="771"/>
      <c r="I26" s="744"/>
      <c r="J26" s="744"/>
      <c r="K26" s="368" t="s">
        <v>201</v>
      </c>
      <c r="L26" s="368"/>
      <c r="M26" s="368"/>
      <c r="N26" s="19"/>
      <c r="O26" s="401"/>
      <c r="P26" s="401"/>
    </row>
    <row r="27" spans="1:16" s="18" customFormat="1" ht="26.25" customHeight="1" x14ac:dyDescent="0.2">
      <c r="A27" s="431"/>
      <c r="B27" s="779"/>
      <c r="C27" s="780"/>
      <c r="D27" s="780"/>
      <c r="E27" s="781"/>
      <c r="F27" s="774"/>
      <c r="G27" s="772"/>
      <c r="H27" s="772"/>
      <c r="I27" s="745"/>
      <c r="J27" s="745"/>
      <c r="K27" s="885" t="s">
        <v>364</v>
      </c>
      <c r="L27" s="886"/>
      <c r="M27" s="887"/>
      <c r="N27" s="19"/>
      <c r="O27" s="107"/>
      <c r="P27" s="107"/>
    </row>
    <row r="28" spans="1:16" s="18" customFormat="1" ht="12.6" customHeight="1" x14ac:dyDescent="0.2">
      <c r="A28" s="383" t="s">
        <v>202</v>
      </c>
      <c r="B28" s="729" t="s">
        <v>203</v>
      </c>
      <c r="C28" s="689"/>
      <c r="D28" s="689"/>
      <c r="E28" s="690"/>
      <c r="F28" s="735" t="s">
        <v>204</v>
      </c>
      <c r="G28" s="726" t="s">
        <v>5</v>
      </c>
      <c r="H28" s="738">
        <v>9</v>
      </c>
      <c r="I28" s="722">
        <f>ROUND(((1*105)+(90*0))*$G$12,2)</f>
        <v>125.9</v>
      </c>
      <c r="J28" s="722">
        <f>H28*I28</f>
        <v>1133.1000000000001</v>
      </c>
      <c r="K28" s="684" t="s">
        <v>428</v>
      </c>
      <c r="L28" s="694"/>
      <c r="M28" s="695"/>
      <c r="N28" s="364"/>
      <c r="O28" s="218"/>
      <c r="P28" s="218"/>
    </row>
    <row r="29" spans="1:16" s="18" customFormat="1" ht="21" customHeight="1" x14ac:dyDescent="0.2">
      <c r="A29" s="383"/>
      <c r="B29" s="764"/>
      <c r="C29" s="692"/>
      <c r="D29" s="692"/>
      <c r="E29" s="693"/>
      <c r="F29" s="773"/>
      <c r="G29" s="771"/>
      <c r="H29" s="785"/>
      <c r="I29" s="744"/>
      <c r="J29" s="744"/>
      <c r="K29" s="885" t="s">
        <v>205</v>
      </c>
      <c r="L29" s="886"/>
      <c r="M29" s="887"/>
      <c r="N29" s="364"/>
      <c r="O29" s="401"/>
      <c r="P29" s="401"/>
    </row>
    <row r="30" spans="1:16" s="18" customFormat="1" ht="17.25" customHeight="1" x14ac:dyDescent="0.2">
      <c r="A30" s="383"/>
      <c r="B30" s="779"/>
      <c r="C30" s="780"/>
      <c r="D30" s="780"/>
      <c r="E30" s="781"/>
      <c r="F30" s="774"/>
      <c r="G30" s="772"/>
      <c r="H30" s="786"/>
      <c r="I30" s="745"/>
      <c r="J30" s="745"/>
      <c r="K30" s="696" t="s">
        <v>206</v>
      </c>
      <c r="L30" s="697"/>
      <c r="M30" s="698"/>
      <c r="N30" s="364"/>
      <c r="O30" s="401"/>
      <c r="P30" s="401"/>
    </row>
    <row r="31" spans="1:16" s="18" customFormat="1" ht="12.6" customHeight="1" x14ac:dyDescent="0.2">
      <c r="A31" s="359" t="s">
        <v>207</v>
      </c>
      <c r="B31" s="729" t="s">
        <v>208</v>
      </c>
      <c r="C31" s="689"/>
      <c r="D31" s="689"/>
      <c r="E31" s="690"/>
      <c r="F31" s="735" t="s">
        <v>209</v>
      </c>
      <c r="G31" s="726" t="s">
        <v>5</v>
      </c>
      <c r="H31" s="738">
        <v>9</v>
      </c>
      <c r="I31" s="722">
        <f>ROUND(1*45*$G$12,2)</f>
        <v>53.96</v>
      </c>
      <c r="J31" s="722">
        <f>H31*I31</f>
        <v>485.64</v>
      </c>
      <c r="K31" s="363" t="s">
        <v>428</v>
      </c>
      <c r="L31" s="890" t="s">
        <v>210</v>
      </c>
      <c r="M31" s="891"/>
      <c r="N31" s="19"/>
      <c r="O31" s="107"/>
      <c r="P31" s="107"/>
    </row>
    <row r="32" spans="1:16" s="18" customFormat="1" ht="27.75" customHeight="1" x14ac:dyDescent="0.2">
      <c r="A32" s="384"/>
      <c r="B32" s="779"/>
      <c r="C32" s="780"/>
      <c r="D32" s="780"/>
      <c r="E32" s="781"/>
      <c r="F32" s="773"/>
      <c r="G32" s="771"/>
      <c r="H32" s="785"/>
      <c r="I32" s="744"/>
      <c r="J32" s="744"/>
      <c r="K32" s="824" t="s">
        <v>211</v>
      </c>
      <c r="L32" s="825"/>
      <c r="M32" s="826"/>
      <c r="N32" s="364"/>
      <c r="O32" s="218"/>
      <c r="P32" s="218"/>
    </row>
    <row r="33" spans="1:17" s="18" customFormat="1" ht="15" customHeight="1" x14ac:dyDescent="0.2">
      <c r="A33" s="361" t="s">
        <v>212</v>
      </c>
      <c r="B33" s="746" t="s">
        <v>213</v>
      </c>
      <c r="C33" s="747"/>
      <c r="D33" s="747"/>
      <c r="E33" s="748"/>
      <c r="F33" s="735" t="s">
        <v>214</v>
      </c>
      <c r="G33" s="735" t="s">
        <v>187</v>
      </c>
      <c r="H33" s="741">
        <v>5</v>
      </c>
      <c r="I33" s="722">
        <f>ROUND(5280*(5^0.6)*0.3*$G$12/5,2)</f>
        <v>997.67</v>
      </c>
      <c r="J33" s="722">
        <f>H33*I33</f>
        <v>4988.3499999999995</v>
      </c>
      <c r="K33" s="684" t="s">
        <v>215</v>
      </c>
      <c r="L33" s="694"/>
      <c r="M33" s="695"/>
      <c r="N33" s="364"/>
      <c r="O33" s="218"/>
      <c r="P33" s="218"/>
    </row>
    <row r="34" spans="1:17" s="18" customFormat="1" ht="27" customHeight="1" x14ac:dyDescent="0.2">
      <c r="A34" s="383"/>
      <c r="B34" s="749"/>
      <c r="C34" s="889"/>
      <c r="D34" s="889"/>
      <c r="E34" s="751"/>
      <c r="F34" s="773"/>
      <c r="G34" s="773"/>
      <c r="H34" s="771"/>
      <c r="I34" s="744"/>
      <c r="J34" s="744"/>
      <c r="K34" s="885" t="s">
        <v>216</v>
      </c>
      <c r="L34" s="886"/>
      <c r="M34" s="887"/>
      <c r="N34" s="364"/>
      <c r="O34" s="107"/>
      <c r="P34" s="107"/>
    </row>
    <row r="35" spans="1:17" s="18" customFormat="1" ht="15" customHeight="1" x14ac:dyDescent="0.2">
      <c r="A35" s="383"/>
      <c r="B35" s="749"/>
      <c r="C35" s="889"/>
      <c r="D35" s="889"/>
      <c r="E35" s="751"/>
      <c r="F35" s="773"/>
      <c r="G35" s="773"/>
      <c r="H35" s="771"/>
      <c r="I35" s="744"/>
      <c r="J35" s="744"/>
      <c r="K35" s="696" t="s">
        <v>217</v>
      </c>
      <c r="L35" s="697"/>
      <c r="M35" s="698"/>
      <c r="N35" s="364"/>
      <c r="O35" s="107"/>
      <c r="P35" s="107"/>
    </row>
    <row r="36" spans="1:17" s="18" customFormat="1" ht="15" customHeight="1" x14ac:dyDescent="0.2">
      <c r="A36" s="383"/>
      <c r="B36" s="749"/>
      <c r="C36" s="889"/>
      <c r="D36" s="889"/>
      <c r="E36" s="751"/>
      <c r="F36" s="773"/>
      <c r="G36" s="773"/>
      <c r="H36" s="771"/>
      <c r="I36" s="744"/>
      <c r="J36" s="744"/>
      <c r="K36" s="696" t="s">
        <v>218</v>
      </c>
      <c r="L36" s="697"/>
      <c r="M36" s="698"/>
      <c r="N36" s="364"/>
      <c r="O36" s="107"/>
      <c r="P36" s="107"/>
    </row>
    <row r="37" spans="1:17" s="18" customFormat="1" ht="15" customHeight="1" x14ac:dyDescent="0.2">
      <c r="A37" s="383"/>
      <c r="B37" s="749"/>
      <c r="C37" s="889"/>
      <c r="D37" s="889"/>
      <c r="E37" s="751"/>
      <c r="F37" s="773"/>
      <c r="G37" s="773"/>
      <c r="H37" s="771"/>
      <c r="I37" s="744"/>
      <c r="J37" s="744"/>
      <c r="K37" s="696" t="s">
        <v>219</v>
      </c>
      <c r="L37" s="697"/>
      <c r="M37" s="698"/>
      <c r="N37" s="364"/>
      <c r="O37" s="218"/>
      <c r="P37" s="218"/>
    </row>
    <row r="38" spans="1:17" s="18" customFormat="1" ht="27" customHeight="1" x14ac:dyDescent="0.2">
      <c r="A38" s="383"/>
      <c r="B38" s="749"/>
      <c r="C38" s="889"/>
      <c r="D38" s="889"/>
      <c r="E38" s="751"/>
      <c r="F38" s="773"/>
      <c r="G38" s="773"/>
      <c r="H38" s="771"/>
      <c r="I38" s="744"/>
      <c r="J38" s="744"/>
      <c r="K38" s="892" t="s">
        <v>220</v>
      </c>
      <c r="L38" s="893"/>
      <c r="M38" s="894"/>
      <c r="N38" s="364"/>
      <c r="O38" s="286">
        <f>SUM(J14:J39)</f>
        <v>19210.091250000001</v>
      </c>
      <c r="P38" s="366"/>
    </row>
    <row r="39" spans="1:17" s="18" customFormat="1" ht="15" customHeight="1" x14ac:dyDescent="0.2">
      <c r="A39" s="384"/>
      <c r="B39" s="752"/>
      <c r="C39" s="753"/>
      <c r="D39" s="753"/>
      <c r="E39" s="754"/>
      <c r="F39" s="774"/>
      <c r="G39" s="774"/>
      <c r="H39" s="772"/>
      <c r="I39" s="745"/>
      <c r="J39" s="745"/>
      <c r="K39" s="895" t="s">
        <v>221</v>
      </c>
      <c r="L39" s="896"/>
      <c r="M39" s="897"/>
      <c r="N39" s="364"/>
      <c r="O39" s="109"/>
      <c r="P39" s="109"/>
    </row>
    <row r="40" spans="1:17" s="18" customFormat="1" ht="19.5" customHeight="1" x14ac:dyDescent="0.2">
      <c r="A40" s="427" t="s">
        <v>222</v>
      </c>
      <c r="B40" s="729" t="s">
        <v>223</v>
      </c>
      <c r="C40" s="689"/>
      <c r="D40" s="689"/>
      <c r="E40" s="690"/>
      <c r="F40" s="735" t="s">
        <v>224</v>
      </c>
      <c r="G40" s="726" t="s">
        <v>5</v>
      </c>
      <c r="H40" s="738">
        <v>1</v>
      </c>
      <c r="I40" s="722">
        <f>ROUND(O38*0.25,2)</f>
        <v>4802.5200000000004</v>
      </c>
      <c r="J40" s="722">
        <f>H40*I40</f>
        <v>4802.5200000000004</v>
      </c>
      <c r="K40" s="506" t="s">
        <v>427</v>
      </c>
      <c r="L40" s="506"/>
      <c r="M40" s="506"/>
      <c r="N40" s="19"/>
      <c r="O40" s="109"/>
      <c r="P40" s="109"/>
      <c r="Q40" s="287"/>
    </row>
    <row r="41" spans="1:17" s="18" customFormat="1" ht="12.6" customHeight="1" x14ac:dyDescent="0.2">
      <c r="A41" s="429"/>
      <c r="B41" s="764"/>
      <c r="C41" s="692"/>
      <c r="D41" s="692"/>
      <c r="E41" s="693"/>
      <c r="F41" s="773"/>
      <c r="G41" s="771"/>
      <c r="H41" s="785"/>
      <c r="I41" s="744"/>
      <c r="J41" s="744"/>
      <c r="K41" s="696" t="s">
        <v>225</v>
      </c>
      <c r="L41" s="697"/>
      <c r="M41" s="698"/>
      <c r="N41" s="364"/>
      <c r="O41" s="107"/>
      <c r="P41" s="107"/>
    </row>
    <row r="42" spans="1:17" s="18" customFormat="1" ht="12.6" customHeight="1" thickBot="1" x14ac:dyDescent="0.25">
      <c r="A42" s="288"/>
      <c r="B42" s="899"/>
      <c r="C42" s="900"/>
      <c r="D42" s="900"/>
      <c r="E42" s="901"/>
      <c r="F42" s="902"/>
      <c r="G42" s="903"/>
      <c r="H42" s="904"/>
      <c r="I42" s="898"/>
      <c r="J42" s="898"/>
      <c r="K42" s="14" t="s">
        <v>226</v>
      </c>
      <c r="L42" s="14"/>
      <c r="M42" s="14"/>
      <c r="N42" s="19"/>
      <c r="O42" s="218"/>
      <c r="P42" s="218"/>
    </row>
    <row r="43" spans="1:17" s="504" customFormat="1" ht="15" thickTop="1" thickBot="1" x14ac:dyDescent="0.3">
      <c r="A43" s="882" t="s">
        <v>493</v>
      </c>
      <c r="B43" s="883"/>
      <c r="C43" s="883"/>
      <c r="D43" s="883"/>
      <c r="E43" s="883"/>
      <c r="F43" s="883"/>
      <c r="G43" s="883"/>
      <c r="H43" s="883"/>
      <c r="I43" s="884"/>
      <c r="J43" s="553">
        <f>J44</f>
        <v>24012.611250000002</v>
      </c>
      <c r="K43" s="447"/>
      <c r="L43" s="447"/>
      <c r="M43" s="447"/>
    </row>
    <row r="44" spans="1:17" s="504" customFormat="1" ht="15" customHeight="1" thickTop="1" x14ac:dyDescent="0.25">
      <c r="A44" s="882" t="s">
        <v>521</v>
      </c>
      <c r="B44" s="883"/>
      <c r="C44" s="883"/>
      <c r="D44" s="883"/>
      <c r="E44" s="883"/>
      <c r="F44" s="883"/>
      <c r="G44" s="883"/>
      <c r="H44" s="883"/>
      <c r="I44" s="884"/>
      <c r="J44" s="553">
        <f>SUM(J14:J42)</f>
        <v>24012.611250000002</v>
      </c>
      <c r="K44" s="447"/>
      <c r="L44" s="447"/>
      <c r="M44" s="447"/>
    </row>
    <row r="45" spans="1:17" ht="13.5" x14ac:dyDescent="0.2">
      <c r="B45" s="659"/>
      <c r="C45" s="659"/>
      <c r="D45" s="659"/>
      <c r="E45" s="659"/>
      <c r="F45" s="26"/>
      <c r="G45" s="374"/>
      <c r="H45" s="374"/>
      <c r="I45" s="374"/>
      <c r="J45" s="374"/>
      <c r="K45" s="374"/>
      <c r="L45" s="225"/>
      <c r="M45" s="374"/>
      <c r="N45" s="356"/>
    </row>
    <row r="46" spans="1:17" x14ac:dyDescent="0.2">
      <c r="B46" s="371"/>
      <c r="C46" s="371"/>
      <c r="D46" s="371"/>
      <c r="F46" s="26"/>
      <c r="G46" s="26"/>
      <c r="H46" s="356"/>
      <c r="I46" s="659"/>
      <c r="J46" s="659"/>
      <c r="K46" s="356"/>
      <c r="L46" s="239"/>
      <c r="M46" s="5"/>
      <c r="N46" s="356"/>
    </row>
    <row r="47" spans="1:17" x14ac:dyDescent="0.2">
      <c r="B47" s="371"/>
      <c r="C47" s="371"/>
      <c r="D47" s="371"/>
      <c r="F47" s="26"/>
      <c r="G47" s="26"/>
      <c r="H47" s="356"/>
      <c r="I47" s="659"/>
      <c r="J47" s="659"/>
      <c r="K47" s="770"/>
      <c r="L47" s="239"/>
      <c r="M47" s="5"/>
      <c r="N47" s="239"/>
    </row>
    <row r="48" spans="1:17" x14ac:dyDescent="0.2">
      <c r="B48" s="659"/>
      <c r="C48" s="659"/>
      <c r="D48" s="769"/>
      <c r="E48" s="769"/>
      <c r="F48" s="26"/>
      <c r="G48" s="26"/>
      <c r="H48" s="371"/>
      <c r="I48" s="371"/>
      <c r="J48" s="371"/>
      <c r="K48" s="371"/>
      <c r="L48" s="239"/>
      <c r="M48" s="2"/>
      <c r="N48" s="356"/>
    </row>
    <row r="49" spans="1:14" x14ac:dyDescent="0.2">
      <c r="B49" s="356"/>
      <c r="C49" s="356"/>
      <c r="D49" s="370"/>
      <c r="E49" s="370"/>
      <c r="F49" s="26"/>
      <c r="G49" s="26"/>
      <c r="H49" s="371"/>
      <c r="I49" s="371"/>
      <c r="J49" s="371"/>
      <c r="K49" s="371"/>
      <c r="L49" s="239"/>
      <c r="M49" s="2"/>
      <c r="N49" s="356"/>
    </row>
    <row r="50" spans="1:14" x14ac:dyDescent="0.2">
      <c r="B50" s="356"/>
      <c r="C50" s="356"/>
      <c r="D50" s="371"/>
      <c r="E50" s="371"/>
      <c r="F50" s="356"/>
      <c r="G50" s="26"/>
      <c r="H50" s="356"/>
      <c r="I50" s="659"/>
      <c r="J50" s="659"/>
      <c r="K50" s="659"/>
      <c r="L50" s="239"/>
      <c r="M50" s="2"/>
      <c r="N50" s="356"/>
    </row>
    <row r="51" spans="1:14" x14ac:dyDescent="0.2">
      <c r="A51" s="43"/>
      <c r="B51" s="43"/>
      <c r="C51" s="43"/>
      <c r="D51" s="43"/>
      <c r="E51" s="43"/>
      <c r="F51" s="43"/>
      <c r="G51" s="26"/>
      <c r="H51" s="356"/>
      <c r="I51" s="356"/>
      <c r="J51" s="356"/>
      <c r="K51" s="356"/>
      <c r="L51" s="239"/>
      <c r="M51" s="2"/>
      <c r="N51" s="402"/>
    </row>
    <row r="52" spans="1:14" x14ac:dyDescent="0.2">
      <c r="C52" s="356"/>
      <c r="D52" s="356"/>
      <c r="E52" s="356"/>
      <c r="F52" s="362"/>
      <c r="G52" s="371"/>
      <c r="H52" s="371"/>
      <c r="I52" s="371"/>
      <c r="J52" s="371"/>
      <c r="K52" s="371"/>
      <c r="L52" s="371"/>
      <c r="M52" s="4"/>
    </row>
    <row r="53" spans="1:14" x14ac:dyDescent="0.2">
      <c r="B53" s="356"/>
      <c r="C53" s="356"/>
      <c r="D53" s="356"/>
      <c r="E53" s="356"/>
      <c r="F53" s="26"/>
      <c r="G53" s="43"/>
      <c r="H53" s="43"/>
      <c r="I53" s="43"/>
      <c r="J53" s="43"/>
      <c r="K53" s="43"/>
      <c r="L53" s="43"/>
      <c r="M53" s="43"/>
      <c r="N53" s="354"/>
    </row>
    <row r="54" spans="1:14" x14ac:dyDescent="0.2">
      <c r="G54" s="362"/>
      <c r="H54" s="362"/>
      <c r="I54" s="362"/>
      <c r="J54" s="362"/>
      <c r="K54" s="356"/>
      <c r="L54" s="356"/>
      <c r="M54" s="356"/>
      <c r="N54" s="354"/>
    </row>
    <row r="55" spans="1:14" x14ac:dyDescent="0.2">
      <c r="G55" s="356"/>
      <c r="H55" s="356"/>
      <c r="I55" s="356"/>
      <c r="J55" s="356"/>
      <c r="K55" s="356"/>
      <c r="L55" s="371"/>
      <c r="M55" s="356"/>
    </row>
  </sheetData>
  <mergeCells count="74">
    <mergeCell ref="J40:J42"/>
    <mergeCell ref="K41:M41"/>
    <mergeCell ref="B48:E48"/>
    <mergeCell ref="I50:K50"/>
    <mergeCell ref="B45:E45"/>
    <mergeCell ref="I46:J46"/>
    <mergeCell ref="I47:K47"/>
    <mergeCell ref="B40:E42"/>
    <mergeCell ref="F40:F42"/>
    <mergeCell ref="G40:G42"/>
    <mergeCell ref="H40:H42"/>
    <mergeCell ref="I40:I42"/>
    <mergeCell ref="A43:I43"/>
    <mergeCell ref="A44:I44"/>
    <mergeCell ref="K32:M32"/>
    <mergeCell ref="B33:E39"/>
    <mergeCell ref="F33:F39"/>
    <mergeCell ref="G33:G39"/>
    <mergeCell ref="H33:H39"/>
    <mergeCell ref="I33:I39"/>
    <mergeCell ref="J33:J39"/>
    <mergeCell ref="K33:M33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B31:E32"/>
    <mergeCell ref="F31:F32"/>
    <mergeCell ref="G31:G32"/>
    <mergeCell ref="H31:H32"/>
    <mergeCell ref="I31:I32"/>
    <mergeCell ref="J31:J32"/>
    <mergeCell ref="L31:M31"/>
    <mergeCell ref="B28:E30"/>
    <mergeCell ref="F28:F30"/>
    <mergeCell ref="G28:G30"/>
    <mergeCell ref="H28:H30"/>
    <mergeCell ref="I28:I30"/>
    <mergeCell ref="J28:J30"/>
    <mergeCell ref="K25:M25"/>
    <mergeCell ref="B24:E27"/>
    <mergeCell ref="F24:F27"/>
    <mergeCell ref="G24:G27"/>
    <mergeCell ref="H24:H27"/>
    <mergeCell ref="I24:I27"/>
    <mergeCell ref="K27:M27"/>
    <mergeCell ref="A6:M6"/>
    <mergeCell ref="A7:M7"/>
    <mergeCell ref="A9:E9"/>
    <mergeCell ref="F9:F11"/>
    <mergeCell ref="G9:I9"/>
    <mergeCell ref="J9:J11"/>
    <mergeCell ref="K9:M12"/>
    <mergeCell ref="A10:E10"/>
    <mergeCell ref="G10:G11"/>
    <mergeCell ref="I10:I11"/>
    <mergeCell ref="J14:J18"/>
    <mergeCell ref="J24:J27"/>
    <mergeCell ref="I19:I23"/>
    <mergeCell ref="J19:J23"/>
    <mergeCell ref="B19:E23"/>
    <mergeCell ref="F19:F23"/>
    <mergeCell ref="G19:G23"/>
    <mergeCell ref="H19:H23"/>
    <mergeCell ref="B14:E18"/>
    <mergeCell ref="F14:F18"/>
    <mergeCell ref="G14:G18"/>
    <mergeCell ref="H14:H18"/>
    <mergeCell ref="I14:I18"/>
  </mergeCells>
  <pageMargins left="0.7" right="0.7" top="0.75" bottom="0.75" header="0.3" footer="0.3"/>
  <pageSetup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view="pageBreakPreview" topLeftCell="F1" zoomScaleNormal="100" zoomScaleSheetLayoutView="100" workbookViewId="0">
      <selection activeCell="K28" sqref="K28"/>
    </sheetView>
  </sheetViews>
  <sheetFormatPr defaultColWidth="9.140625" defaultRowHeight="12.75" x14ac:dyDescent="0.2"/>
  <cols>
    <col min="1" max="1" width="4.140625" style="35" customWidth="1"/>
    <col min="2" max="2" width="5.85546875" style="26" customWidth="1"/>
    <col min="3" max="3" width="4" style="26" customWidth="1"/>
    <col min="4" max="4" width="5.140625" style="26" customWidth="1"/>
    <col min="5" max="5" width="6" style="26" customWidth="1"/>
    <col min="6" max="6" width="6.85546875" style="34" customWidth="1"/>
    <col min="7" max="7" width="7.85546875" style="35" customWidth="1"/>
    <col min="8" max="8" width="6.140625" style="26" customWidth="1"/>
    <col min="9" max="9" width="7.42578125" style="26" customWidth="1"/>
    <col min="10" max="10" width="8.140625" style="26" customWidth="1"/>
    <col min="11" max="11" width="4.85546875" style="26" customWidth="1"/>
    <col min="12" max="12" width="4.5703125" style="26" customWidth="1"/>
    <col min="13" max="13" width="20.85546875" style="26" customWidth="1"/>
    <col min="14" max="14" width="11.85546875" style="26" customWidth="1"/>
    <col min="15" max="15" width="13.5703125" style="26" customWidth="1"/>
    <col min="16" max="16" width="9.140625" style="26"/>
    <col min="17" max="17" width="13.7109375" style="26" customWidth="1"/>
    <col min="18" max="16384" width="9.140625" style="26"/>
  </cols>
  <sheetData>
    <row r="1" spans="1:16" s="191" customFormat="1" ht="15.95" customHeight="1" x14ac:dyDescent="0.2">
      <c r="A1" s="118" t="s">
        <v>128</v>
      </c>
      <c r="B1" s="36"/>
      <c r="C1" s="36"/>
      <c r="D1" s="36"/>
      <c r="E1" s="385"/>
      <c r="F1" s="385"/>
      <c r="G1" s="404"/>
      <c r="J1" s="228"/>
    </row>
    <row r="2" spans="1:16" s="191" customFormat="1" ht="13.5" customHeight="1" x14ac:dyDescent="0.2">
      <c r="A2" s="118" t="s">
        <v>129</v>
      </c>
      <c r="B2" s="36"/>
      <c r="C2" s="36"/>
      <c r="D2" s="36"/>
      <c r="E2" s="385"/>
      <c r="F2" s="385"/>
      <c r="G2" s="404"/>
      <c r="I2" s="110"/>
      <c r="J2" s="228"/>
    </row>
    <row r="3" spans="1:16" s="191" customFormat="1" ht="12.75" customHeight="1" x14ac:dyDescent="0.2">
      <c r="A3" s="118" t="s">
        <v>130</v>
      </c>
      <c r="B3" s="36"/>
      <c r="C3" s="36"/>
      <c r="D3" s="36"/>
      <c r="E3" s="385"/>
      <c r="F3" s="385"/>
      <c r="G3" s="404"/>
      <c r="J3" s="228"/>
    </row>
    <row r="4" spans="1:16" s="191" customFormat="1" ht="11.25" customHeight="1" x14ac:dyDescent="0.2">
      <c r="A4" s="118" t="s">
        <v>131</v>
      </c>
      <c r="B4" s="36"/>
      <c r="C4" s="36"/>
      <c r="D4" s="36"/>
      <c r="E4" s="385"/>
      <c r="F4" s="385"/>
      <c r="G4" s="404"/>
      <c r="J4" s="228"/>
    </row>
    <row r="5" spans="1:16" s="191" customFormat="1" ht="13.5" customHeight="1" x14ac:dyDescent="0.2">
      <c r="A5" s="118" t="s">
        <v>132</v>
      </c>
      <c r="B5" s="228"/>
      <c r="C5" s="228"/>
      <c r="D5" s="228"/>
      <c r="E5" s="42"/>
      <c r="F5" s="42"/>
      <c r="G5" s="385"/>
      <c r="J5" s="228"/>
    </row>
    <row r="6" spans="1:16" ht="16.5" customHeight="1" x14ac:dyDescent="0.2">
      <c r="A6" s="643" t="s">
        <v>522</v>
      </c>
      <c r="B6" s="643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643"/>
      <c r="N6" s="355"/>
      <c r="O6" s="355"/>
      <c r="P6" s="355"/>
    </row>
    <row r="7" spans="1:16" ht="13.5" customHeight="1" x14ac:dyDescent="0.2">
      <c r="A7" s="658" t="s">
        <v>404</v>
      </c>
      <c r="B7" s="658"/>
      <c r="C7" s="658"/>
      <c r="D7" s="658"/>
      <c r="E7" s="658"/>
      <c r="F7" s="658"/>
      <c r="G7" s="658"/>
      <c r="H7" s="658"/>
      <c r="I7" s="658"/>
      <c r="J7" s="658"/>
      <c r="K7" s="658"/>
      <c r="L7" s="658"/>
      <c r="M7" s="658"/>
      <c r="N7" s="406"/>
      <c r="O7" s="406"/>
      <c r="P7" s="406"/>
    </row>
    <row r="8" spans="1:16" ht="11.25" customHeight="1" x14ac:dyDescent="0.2"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</row>
    <row r="9" spans="1:16" s="20" customFormat="1" ht="17.25" customHeight="1" x14ac:dyDescent="0.2">
      <c r="A9" s="669" t="s">
        <v>137</v>
      </c>
      <c r="B9" s="670"/>
      <c r="C9" s="670"/>
      <c r="D9" s="670"/>
      <c r="E9" s="671"/>
      <c r="F9" s="758" t="s">
        <v>134</v>
      </c>
      <c r="G9" s="761" t="s">
        <v>135</v>
      </c>
      <c r="H9" s="762"/>
      <c r="I9" s="763"/>
      <c r="J9" s="660" t="s">
        <v>136</v>
      </c>
      <c r="K9" s="669" t="s">
        <v>51</v>
      </c>
      <c r="L9" s="708"/>
      <c r="M9" s="709"/>
      <c r="N9" s="195"/>
      <c r="O9" s="106"/>
      <c r="P9" s="106"/>
    </row>
    <row r="10" spans="1:16" s="20" customFormat="1" ht="22.5" customHeight="1" x14ac:dyDescent="0.2">
      <c r="A10" s="666" t="s">
        <v>1</v>
      </c>
      <c r="B10" s="667"/>
      <c r="C10" s="667"/>
      <c r="D10" s="667"/>
      <c r="E10" s="668"/>
      <c r="F10" s="759"/>
      <c r="G10" s="660" t="s">
        <v>98</v>
      </c>
      <c r="H10" s="905" t="s">
        <v>125</v>
      </c>
      <c r="I10" s="660" t="s">
        <v>138</v>
      </c>
      <c r="J10" s="661"/>
      <c r="K10" s="710"/>
      <c r="L10" s="711"/>
      <c r="M10" s="712"/>
      <c r="N10" s="195"/>
      <c r="O10" s="195"/>
      <c r="P10" s="195"/>
    </row>
    <row r="11" spans="1:16" s="239" customFormat="1" ht="13.5" customHeight="1" x14ac:dyDescent="0.2">
      <c r="A11" s="230"/>
      <c r="B11" s="231"/>
      <c r="C11" s="231"/>
      <c r="D11" s="231"/>
      <c r="E11" s="232"/>
      <c r="F11" s="760"/>
      <c r="G11" s="672"/>
      <c r="H11" s="662"/>
      <c r="I11" s="662"/>
      <c r="J11" s="662"/>
      <c r="K11" s="710"/>
      <c r="L11" s="711"/>
      <c r="M11" s="712"/>
      <c r="N11" s="195"/>
      <c r="O11" s="195"/>
      <c r="P11" s="195"/>
    </row>
    <row r="12" spans="1:16" ht="15" customHeight="1" thickBot="1" x14ac:dyDescent="0.25">
      <c r="A12" s="130"/>
      <c r="B12" s="20"/>
      <c r="C12" s="96"/>
      <c r="D12" s="129"/>
      <c r="E12" s="96"/>
      <c r="F12" s="95" t="s">
        <v>490</v>
      </c>
      <c r="G12" s="96">
        <v>1.1990000000000001</v>
      </c>
      <c r="H12" s="479"/>
      <c r="I12" s="480" t="s">
        <v>570</v>
      </c>
      <c r="J12" s="210"/>
      <c r="K12" s="713"/>
      <c r="L12" s="714"/>
      <c r="M12" s="715"/>
      <c r="N12" s="195"/>
      <c r="O12" s="195"/>
      <c r="P12" s="195"/>
    </row>
    <row r="13" spans="1:16" s="18" customFormat="1" ht="15" customHeight="1" thickTop="1" x14ac:dyDescent="0.2">
      <c r="A13" s="290"/>
      <c r="B13" s="53" t="s">
        <v>227</v>
      </c>
      <c r="C13" s="49"/>
      <c r="D13" s="49"/>
      <c r="E13" s="50"/>
      <c r="F13" s="123"/>
      <c r="G13" s="123"/>
      <c r="H13" s="291"/>
      <c r="I13" s="291"/>
      <c r="J13" s="11"/>
      <c r="K13" s="24"/>
      <c r="L13" s="24"/>
      <c r="M13" s="24"/>
      <c r="N13" s="19"/>
      <c r="O13" s="19"/>
    </row>
    <row r="14" spans="1:16" s="18" customFormat="1" ht="15" customHeight="1" x14ac:dyDescent="0.2">
      <c r="A14" s="383"/>
      <c r="B14" s="45" t="s">
        <v>228</v>
      </c>
      <c r="C14" s="48"/>
      <c r="D14" s="48"/>
      <c r="E14" s="29"/>
      <c r="F14" s="292"/>
      <c r="G14" s="293"/>
      <c r="H14" s="294"/>
      <c r="I14" s="294"/>
      <c r="J14" s="11"/>
      <c r="K14" s="11"/>
      <c r="L14" s="11"/>
      <c r="M14" s="11"/>
      <c r="N14" s="19"/>
      <c r="O14" s="19"/>
    </row>
    <row r="15" spans="1:16" s="18" customFormat="1" ht="19.5" customHeight="1" x14ac:dyDescent="0.2">
      <c r="A15" s="383"/>
      <c r="B15" s="61" t="s">
        <v>229</v>
      </c>
      <c r="C15" s="56"/>
      <c r="D15" s="56"/>
      <c r="E15" s="57"/>
      <c r="F15" s="295"/>
      <c r="G15" s="296"/>
      <c r="H15" s="297"/>
      <c r="I15" s="297"/>
      <c r="J15" s="367"/>
      <c r="K15" s="367"/>
      <c r="L15" s="367"/>
      <c r="M15" s="367"/>
      <c r="N15" s="19"/>
      <c r="O15" s="19"/>
    </row>
    <row r="16" spans="1:16" s="18" customFormat="1" ht="27.75" customHeight="1" x14ac:dyDescent="0.2">
      <c r="A16" s="726" t="s">
        <v>230</v>
      </c>
      <c r="B16" s="746" t="s">
        <v>231</v>
      </c>
      <c r="C16" s="747"/>
      <c r="D16" s="747"/>
      <c r="E16" s="748"/>
      <c r="F16" s="909" t="s">
        <v>383</v>
      </c>
      <c r="G16" s="726" t="s">
        <v>5</v>
      </c>
      <c r="H16" s="738">
        <v>1</v>
      </c>
      <c r="I16" s="722">
        <f>ROUND((N16*0.15),2)</f>
        <v>3574.52</v>
      </c>
      <c r="J16" s="722">
        <f>H16*I16</f>
        <v>3574.52</v>
      </c>
      <c r="K16" s="684" t="s">
        <v>417</v>
      </c>
      <c r="L16" s="918"/>
      <c r="M16" s="919"/>
      <c r="N16" s="17">
        <f>+J70</f>
        <v>23830.135810000003</v>
      </c>
      <c r="O16" s="17"/>
      <c r="P16" s="18">
        <v>177952.39</v>
      </c>
    </row>
    <row r="17" spans="1:16" s="18" customFormat="1" ht="26.25" customHeight="1" x14ac:dyDescent="0.2">
      <c r="A17" s="727"/>
      <c r="B17" s="749"/>
      <c r="C17" s="750"/>
      <c r="D17" s="750"/>
      <c r="E17" s="751"/>
      <c r="F17" s="910"/>
      <c r="G17" s="727"/>
      <c r="H17" s="785"/>
      <c r="I17" s="725"/>
      <c r="J17" s="725"/>
      <c r="K17" s="696" t="s">
        <v>232</v>
      </c>
      <c r="L17" s="802"/>
      <c r="M17" s="803"/>
      <c r="N17" s="17"/>
      <c r="O17" s="17"/>
    </row>
    <row r="18" spans="1:16" s="18" customFormat="1" ht="12.6" customHeight="1" x14ac:dyDescent="0.2">
      <c r="A18" s="728"/>
      <c r="B18" s="752"/>
      <c r="C18" s="753"/>
      <c r="D18" s="753"/>
      <c r="E18" s="754"/>
      <c r="F18" s="911"/>
      <c r="G18" s="728"/>
      <c r="H18" s="786"/>
      <c r="I18" s="724"/>
      <c r="J18" s="724"/>
      <c r="K18" s="60" t="s">
        <v>233</v>
      </c>
      <c r="L18" s="60"/>
      <c r="M18" s="60"/>
      <c r="N18" s="17"/>
      <c r="O18" s="17"/>
    </row>
    <row r="19" spans="1:16" s="18" customFormat="1" ht="19.5" customHeight="1" x14ac:dyDescent="0.2">
      <c r="A19" s="431"/>
      <c r="B19" s="61" t="s">
        <v>234</v>
      </c>
      <c r="C19" s="56"/>
      <c r="D19" s="56"/>
      <c r="E19" s="57"/>
      <c r="F19" s="80"/>
      <c r="G19" s="81"/>
      <c r="H19" s="298"/>
      <c r="I19" s="367"/>
      <c r="J19" s="367"/>
      <c r="K19" s="367"/>
      <c r="L19" s="367"/>
      <c r="M19" s="367"/>
      <c r="N19" s="19"/>
      <c r="O19" s="19"/>
      <c r="P19" s="18">
        <v>1.1080000000000001</v>
      </c>
    </row>
    <row r="20" spans="1:16" s="18" customFormat="1" ht="29.25" hidden="1" customHeight="1" x14ac:dyDescent="0.2">
      <c r="A20" s="726" t="s">
        <v>235</v>
      </c>
      <c r="B20" s="920" t="s">
        <v>344</v>
      </c>
      <c r="C20" s="921"/>
      <c r="D20" s="921"/>
      <c r="E20" s="922"/>
      <c r="F20" s="735" t="s">
        <v>236</v>
      </c>
      <c r="G20" s="726" t="s">
        <v>5</v>
      </c>
      <c r="H20" s="738">
        <v>0</v>
      </c>
      <c r="I20" s="722">
        <v>1662</v>
      </c>
      <c r="J20" s="722">
        <f>H20*I20</f>
        <v>0</v>
      </c>
      <c r="K20" s="135" t="s">
        <v>237</v>
      </c>
      <c r="L20" s="299">
        <v>1</v>
      </c>
      <c r="M20" s="300" t="s">
        <v>238</v>
      </c>
      <c r="N20" s="109"/>
      <c r="O20" s="109"/>
    </row>
    <row r="21" spans="1:16" s="18" customFormat="1" ht="12" hidden="1" customHeight="1" x14ac:dyDescent="0.2">
      <c r="A21" s="771"/>
      <c r="B21" s="923"/>
      <c r="C21" s="924"/>
      <c r="D21" s="924"/>
      <c r="E21" s="925"/>
      <c r="F21" s="773"/>
      <c r="G21" s="771"/>
      <c r="H21" s="785"/>
      <c r="I21" s="744"/>
      <c r="J21" s="744"/>
      <c r="K21" s="136" t="s">
        <v>239</v>
      </c>
      <c r="L21" s="137">
        <v>1.3</v>
      </c>
      <c r="M21" s="301" t="s">
        <v>345</v>
      </c>
      <c r="N21" s="109"/>
      <c r="O21" s="109"/>
    </row>
    <row r="22" spans="1:16" s="18" customFormat="1" ht="12" hidden="1" customHeight="1" x14ac:dyDescent="0.2">
      <c r="A22" s="771"/>
      <c r="B22" s="923"/>
      <c r="C22" s="924"/>
      <c r="D22" s="924"/>
      <c r="E22" s="925"/>
      <c r="F22" s="773"/>
      <c r="G22" s="771"/>
      <c r="H22" s="785"/>
      <c r="I22" s="744"/>
      <c r="J22" s="744"/>
      <c r="K22" s="136" t="s">
        <v>240</v>
      </c>
      <c r="L22" s="329">
        <v>165</v>
      </c>
      <c r="M22" s="301" t="s">
        <v>346</v>
      </c>
      <c r="N22" s="109"/>
      <c r="O22" s="109"/>
    </row>
    <row r="23" spans="1:16" s="18" customFormat="1" ht="15" hidden="1" customHeight="1" x14ac:dyDescent="0.2">
      <c r="A23" s="772"/>
      <c r="B23" s="926"/>
      <c r="C23" s="927"/>
      <c r="D23" s="927"/>
      <c r="E23" s="928"/>
      <c r="F23" s="774"/>
      <c r="G23" s="772"/>
      <c r="H23" s="786"/>
      <c r="I23" s="745"/>
      <c r="J23" s="745"/>
      <c r="K23" s="403" t="s">
        <v>241</v>
      </c>
      <c r="L23" s="158"/>
      <c r="M23" s="159"/>
      <c r="N23" s="218"/>
      <c r="O23" s="218"/>
    </row>
    <row r="24" spans="1:16" s="18" customFormat="1" ht="25.5" customHeight="1" x14ac:dyDescent="0.2">
      <c r="A24" s="726" t="s">
        <v>235</v>
      </c>
      <c r="B24" s="746" t="s">
        <v>381</v>
      </c>
      <c r="C24" s="747"/>
      <c r="D24" s="747"/>
      <c r="E24" s="748"/>
      <c r="F24" s="735" t="s">
        <v>236</v>
      </c>
      <c r="G24" s="726" t="s">
        <v>5</v>
      </c>
      <c r="H24" s="738">
        <v>1</v>
      </c>
      <c r="I24" s="722">
        <v>1662</v>
      </c>
      <c r="J24" s="722">
        <f>H24*I24</f>
        <v>1662</v>
      </c>
      <c r="K24" s="135" t="s">
        <v>237</v>
      </c>
      <c r="L24" s="302">
        <v>1</v>
      </c>
      <c r="M24" s="300" t="s">
        <v>243</v>
      </c>
      <c r="N24" s="17"/>
      <c r="O24" s="17"/>
    </row>
    <row r="25" spans="1:16" s="18" customFormat="1" ht="25.5" customHeight="1" x14ac:dyDescent="0.2">
      <c r="A25" s="771"/>
      <c r="B25" s="749"/>
      <c r="C25" s="750"/>
      <c r="D25" s="750"/>
      <c r="E25" s="751"/>
      <c r="F25" s="773"/>
      <c r="G25" s="771"/>
      <c r="H25" s="785"/>
      <c r="I25" s="725"/>
      <c r="J25" s="725"/>
      <c r="K25" s="136" t="s">
        <v>239</v>
      </c>
      <c r="L25" s="303">
        <v>1</v>
      </c>
      <c r="M25" s="304" t="s">
        <v>347</v>
      </c>
      <c r="N25" s="17"/>
      <c r="O25" s="17"/>
    </row>
    <row r="26" spans="1:16" s="18" customFormat="1" ht="25.5" customHeight="1" x14ac:dyDescent="0.2">
      <c r="A26" s="771"/>
      <c r="B26" s="749"/>
      <c r="C26" s="750"/>
      <c r="D26" s="750"/>
      <c r="E26" s="751"/>
      <c r="F26" s="773"/>
      <c r="G26" s="771"/>
      <c r="H26" s="785"/>
      <c r="I26" s="725"/>
      <c r="J26" s="725"/>
      <c r="K26" s="136" t="s">
        <v>240</v>
      </c>
      <c r="L26" s="330">
        <v>50</v>
      </c>
      <c r="M26" s="304" t="s">
        <v>244</v>
      </c>
      <c r="N26" s="17"/>
      <c r="O26" s="17"/>
    </row>
    <row r="27" spans="1:16" s="18" customFormat="1" ht="15" customHeight="1" x14ac:dyDescent="0.2">
      <c r="A27" s="772"/>
      <c r="B27" s="912"/>
      <c r="C27" s="913"/>
      <c r="D27" s="913"/>
      <c r="E27" s="914"/>
      <c r="F27" s="774"/>
      <c r="G27" s="772"/>
      <c r="H27" s="786"/>
      <c r="I27" s="724"/>
      <c r="J27" s="724"/>
      <c r="K27" s="403" t="s">
        <v>241</v>
      </c>
      <c r="L27" s="158"/>
      <c r="M27" s="159"/>
      <c r="N27" s="401"/>
      <c r="O27" s="401"/>
    </row>
    <row r="28" spans="1:16" s="18" customFormat="1" ht="27" x14ac:dyDescent="0.2">
      <c r="A28" s="429" t="s">
        <v>242</v>
      </c>
      <c r="B28" s="729" t="s">
        <v>245</v>
      </c>
      <c r="C28" s="689"/>
      <c r="D28" s="689"/>
      <c r="E28" s="690"/>
      <c r="F28" s="305" t="s">
        <v>246</v>
      </c>
      <c r="G28" s="306" t="s">
        <v>5</v>
      </c>
      <c r="H28" s="307">
        <v>1</v>
      </c>
      <c r="I28" s="308">
        <f>1000+(1000*(4^0.6))*$G$12</f>
        <v>3754.5786552828904</v>
      </c>
      <c r="J28" s="428">
        <f>H28*I28</f>
        <v>3754.5786552828904</v>
      </c>
      <c r="K28" s="135" t="s">
        <v>247</v>
      </c>
      <c r="L28" s="309">
        <v>4</v>
      </c>
      <c r="M28" s="310" t="s">
        <v>248</v>
      </c>
      <c r="N28" s="107"/>
      <c r="O28" s="107"/>
    </row>
    <row r="29" spans="1:16" s="18" customFormat="1" ht="13.5" customHeight="1" x14ac:dyDescent="0.2">
      <c r="A29" s="431"/>
      <c r="B29" s="779"/>
      <c r="C29" s="780"/>
      <c r="D29" s="780"/>
      <c r="E29" s="781"/>
      <c r="F29" s="311"/>
      <c r="G29" s="312"/>
      <c r="H29" s="313"/>
      <c r="I29" s="314"/>
      <c r="J29" s="369"/>
      <c r="K29" s="403" t="s">
        <v>249</v>
      </c>
      <c r="L29" s="158"/>
      <c r="M29" s="159"/>
      <c r="N29" s="107"/>
      <c r="O29" s="107"/>
    </row>
    <row r="30" spans="1:16" s="18" customFormat="1" ht="15" customHeight="1" x14ac:dyDescent="0.2">
      <c r="A30" s="935" t="s">
        <v>250</v>
      </c>
      <c r="B30" s="936"/>
      <c r="C30" s="936"/>
      <c r="D30" s="936"/>
      <c r="E30" s="936"/>
      <c r="F30" s="731"/>
      <c r="G30" s="69"/>
      <c r="H30" s="85"/>
      <c r="I30" s="215"/>
      <c r="J30" s="368">
        <f>SUM(J16:J29)</f>
        <v>8991.0986552828908</v>
      </c>
      <c r="K30" s="368"/>
      <c r="L30" s="368"/>
      <c r="M30" s="368"/>
      <c r="N30" s="19"/>
      <c r="O30" s="19"/>
    </row>
    <row r="31" spans="1:16" s="18" customFormat="1" ht="23.45" customHeight="1" x14ac:dyDescent="0.2">
      <c r="A31" s="427"/>
      <c r="B31" s="408" t="s">
        <v>251</v>
      </c>
      <c r="C31" s="315"/>
      <c r="D31" s="315"/>
      <c r="E31" s="316"/>
      <c r="F31" s="305"/>
      <c r="G31" s="306"/>
      <c r="H31" s="428"/>
      <c r="I31" s="428"/>
      <c r="J31" s="428"/>
      <c r="K31" s="428"/>
      <c r="L31" s="428"/>
      <c r="M31" s="428"/>
      <c r="N31" s="19"/>
      <c r="O31" s="19"/>
    </row>
    <row r="32" spans="1:16" s="18" customFormat="1" ht="16.5" customHeight="1" x14ac:dyDescent="0.2">
      <c r="A32" s="361"/>
      <c r="B32" s="61" t="s">
        <v>252</v>
      </c>
      <c r="C32" s="54"/>
      <c r="D32" s="54"/>
      <c r="E32" s="32"/>
      <c r="F32" s="80"/>
      <c r="G32" s="81"/>
      <c r="H32" s="317"/>
      <c r="I32" s="367"/>
      <c r="J32" s="367"/>
      <c r="K32" s="367"/>
      <c r="L32" s="367"/>
      <c r="M32" s="367"/>
      <c r="N32" s="19"/>
      <c r="O32" s="19"/>
    </row>
    <row r="33" spans="1:23" s="18" customFormat="1" ht="78" customHeight="1" x14ac:dyDescent="0.2">
      <c r="A33" s="394" t="s">
        <v>253</v>
      </c>
      <c r="B33" s="929" t="s">
        <v>254</v>
      </c>
      <c r="C33" s="937"/>
      <c r="D33" s="937"/>
      <c r="E33" s="938"/>
      <c r="F33" s="396" t="s">
        <v>255</v>
      </c>
      <c r="G33" s="394" t="s">
        <v>5</v>
      </c>
      <c r="H33" s="318">
        <v>1</v>
      </c>
      <c r="I33" s="392">
        <f>3925*G12</f>
        <v>4706.0749999999998</v>
      </c>
      <c r="J33" s="392">
        <f>H33*I33</f>
        <v>4706.0749999999998</v>
      </c>
      <c r="K33" s="930" t="s">
        <v>256</v>
      </c>
      <c r="L33" s="939"/>
      <c r="M33" s="939"/>
      <c r="N33" s="107"/>
      <c r="O33" s="107"/>
      <c r="P33" s="26"/>
      <c r="Q33" s="26"/>
      <c r="R33" s="26"/>
      <c r="S33" s="26"/>
      <c r="T33" s="26"/>
      <c r="U33" s="26"/>
      <c r="V33" s="26"/>
      <c r="W33" s="26"/>
    </row>
    <row r="34" spans="1:23" s="18" customFormat="1" ht="67.5" customHeight="1" x14ac:dyDescent="0.2">
      <c r="A34" s="394" t="s">
        <v>257</v>
      </c>
      <c r="B34" s="929" t="s">
        <v>258</v>
      </c>
      <c r="C34" s="937"/>
      <c r="D34" s="937"/>
      <c r="E34" s="938"/>
      <c r="F34" s="396" t="s">
        <v>259</v>
      </c>
      <c r="G34" s="394" t="s">
        <v>260</v>
      </c>
      <c r="H34" s="318">
        <v>1</v>
      </c>
      <c r="I34" s="392">
        <f>1*0.954*85*G12</f>
        <v>97.226910000000004</v>
      </c>
      <c r="J34" s="392">
        <f>H34*I34</f>
        <v>97.226910000000004</v>
      </c>
      <c r="K34" s="930" t="s">
        <v>365</v>
      </c>
      <c r="L34" s="931"/>
      <c r="M34" s="931"/>
      <c r="N34" s="109"/>
      <c r="O34" s="109"/>
    </row>
    <row r="35" spans="1:23" s="18" customFormat="1" ht="58.5" customHeight="1" x14ac:dyDescent="0.2">
      <c r="A35" s="394" t="s">
        <v>261</v>
      </c>
      <c r="B35" s="929" t="s">
        <v>262</v>
      </c>
      <c r="C35" s="832"/>
      <c r="D35" s="832"/>
      <c r="E35" s="833"/>
      <c r="F35" s="396" t="s">
        <v>263</v>
      </c>
      <c r="G35" s="394" t="s">
        <v>264</v>
      </c>
      <c r="H35" s="318">
        <v>2</v>
      </c>
      <c r="I35" s="392">
        <f>(390*G12)</f>
        <v>467.61</v>
      </c>
      <c r="J35" s="392">
        <f>H35*I35</f>
        <v>935.22</v>
      </c>
      <c r="K35" s="930" t="s">
        <v>523</v>
      </c>
      <c r="L35" s="931"/>
      <c r="M35" s="931"/>
      <c r="N35" s="109"/>
      <c r="O35" s="109"/>
    </row>
    <row r="36" spans="1:23" s="18" customFormat="1" ht="21.75" customHeight="1" x14ac:dyDescent="0.2">
      <c r="A36" s="932" t="s">
        <v>419</v>
      </c>
      <c r="B36" s="933"/>
      <c r="C36" s="933"/>
      <c r="D36" s="933"/>
      <c r="E36" s="933"/>
      <c r="F36" s="934"/>
      <c r="G36" s="394"/>
      <c r="H36" s="318"/>
      <c r="I36" s="392"/>
      <c r="J36" s="392"/>
      <c r="K36" s="412"/>
      <c r="L36" s="413"/>
      <c r="M36" s="413"/>
      <c r="N36" s="109"/>
      <c r="O36" s="109"/>
    </row>
    <row r="37" spans="1:23" s="18" customFormat="1" ht="64.5" customHeight="1" x14ac:dyDescent="0.2">
      <c r="A37" s="394" t="s">
        <v>265</v>
      </c>
      <c r="B37" s="915" t="s">
        <v>266</v>
      </c>
      <c r="C37" s="915"/>
      <c r="D37" s="915"/>
      <c r="E37" s="915"/>
      <c r="F37" s="396" t="s">
        <v>267</v>
      </c>
      <c r="G37" s="394" t="s">
        <v>199</v>
      </c>
      <c r="H37" s="393">
        <v>15</v>
      </c>
      <c r="I37" s="392">
        <f>180*G12</f>
        <v>215.82000000000002</v>
      </c>
      <c r="J37" s="392">
        <f>H37*I37</f>
        <v>3237.3</v>
      </c>
      <c r="K37" s="930" t="s">
        <v>366</v>
      </c>
      <c r="L37" s="931"/>
      <c r="M37" s="931"/>
      <c r="N37" s="109"/>
      <c r="O37" s="109"/>
    </row>
    <row r="38" spans="1:23" s="18" customFormat="1" ht="57" customHeight="1" x14ac:dyDescent="0.2">
      <c r="A38" s="394" t="s">
        <v>269</v>
      </c>
      <c r="B38" s="915" t="s">
        <v>268</v>
      </c>
      <c r="C38" s="915"/>
      <c r="D38" s="915"/>
      <c r="E38" s="915"/>
      <c r="F38" s="396" t="s">
        <v>384</v>
      </c>
      <c r="G38" s="394" t="s">
        <v>199</v>
      </c>
      <c r="H38" s="393">
        <v>3</v>
      </c>
      <c r="I38" s="84">
        <f>ROUND(1*306*G12,2)</f>
        <v>366.89</v>
      </c>
      <c r="J38" s="392">
        <f>H38*I38</f>
        <v>1100.67</v>
      </c>
      <c r="K38" s="930" t="s">
        <v>367</v>
      </c>
      <c r="L38" s="931"/>
      <c r="M38" s="931"/>
      <c r="N38" s="109"/>
      <c r="O38" s="109"/>
    </row>
    <row r="39" spans="1:23" s="18" customFormat="1" ht="60" customHeight="1" x14ac:dyDescent="0.2">
      <c r="A39" s="394" t="s">
        <v>382</v>
      </c>
      <c r="B39" s="915" t="s">
        <v>270</v>
      </c>
      <c r="C39" s="915"/>
      <c r="D39" s="915"/>
      <c r="E39" s="915"/>
      <c r="F39" s="396" t="s">
        <v>385</v>
      </c>
      <c r="G39" s="394" t="s">
        <v>199</v>
      </c>
      <c r="H39" s="393">
        <v>2</v>
      </c>
      <c r="I39" s="84">
        <f>ROUND(1*252*G12,2)</f>
        <v>302.14999999999998</v>
      </c>
      <c r="J39" s="392">
        <f t="shared" ref="J39:J69" si="0">H39*I39</f>
        <v>604.29999999999995</v>
      </c>
      <c r="K39" s="319" t="s">
        <v>368</v>
      </c>
      <c r="L39" s="207"/>
      <c r="M39" s="398"/>
      <c r="N39" s="109"/>
      <c r="O39" s="109"/>
    </row>
    <row r="40" spans="1:23" s="18" customFormat="1" ht="19.5" customHeight="1" x14ac:dyDescent="0.2">
      <c r="A40" s="932" t="s">
        <v>420</v>
      </c>
      <c r="B40" s="933"/>
      <c r="C40" s="933"/>
      <c r="D40" s="933"/>
      <c r="E40" s="933"/>
      <c r="F40" s="934"/>
      <c r="G40" s="394"/>
      <c r="H40" s="393"/>
      <c r="I40" s="84"/>
      <c r="J40" s="392"/>
      <c r="K40" s="319"/>
      <c r="L40" s="207"/>
      <c r="M40" s="398"/>
      <c r="N40" s="109"/>
      <c r="O40" s="109"/>
    </row>
    <row r="41" spans="1:23" s="18" customFormat="1" ht="81.75" customHeight="1" x14ac:dyDescent="0.2">
      <c r="A41" s="394" t="s">
        <v>273</v>
      </c>
      <c r="B41" s="915" t="s">
        <v>271</v>
      </c>
      <c r="C41" s="915"/>
      <c r="D41" s="915"/>
      <c r="E41" s="915"/>
      <c r="F41" s="396" t="s">
        <v>272</v>
      </c>
      <c r="G41" s="394" t="s">
        <v>5</v>
      </c>
      <c r="H41" s="318">
        <v>12</v>
      </c>
      <c r="I41" s="84">
        <f>ROUND(1*54*G12,2)</f>
        <v>64.75</v>
      </c>
      <c r="J41" s="392">
        <f t="shared" si="0"/>
        <v>777</v>
      </c>
      <c r="K41" s="930" t="s">
        <v>411</v>
      </c>
      <c r="L41" s="931"/>
      <c r="M41" s="931"/>
      <c r="N41" s="109"/>
      <c r="O41" s="109"/>
    </row>
    <row r="42" spans="1:23" s="18" customFormat="1" ht="72" customHeight="1" x14ac:dyDescent="0.2">
      <c r="A42" s="55" t="s">
        <v>348</v>
      </c>
      <c r="B42" s="915" t="s">
        <v>274</v>
      </c>
      <c r="C42" s="915"/>
      <c r="D42" s="915"/>
      <c r="E42" s="915"/>
      <c r="F42" s="396" t="s">
        <v>275</v>
      </c>
      <c r="G42" s="394" t="s">
        <v>5</v>
      </c>
      <c r="H42" s="318">
        <v>3</v>
      </c>
      <c r="I42" s="84">
        <f>ROUND(1*92*1.108,2)</f>
        <v>101.94</v>
      </c>
      <c r="J42" s="392">
        <f t="shared" si="0"/>
        <v>305.82</v>
      </c>
      <c r="K42" s="930" t="s">
        <v>369</v>
      </c>
      <c r="L42" s="931"/>
      <c r="M42" s="931"/>
      <c r="N42" s="109"/>
      <c r="O42" s="109"/>
    </row>
    <row r="43" spans="1:23" s="18" customFormat="1" ht="20.25" customHeight="1" x14ac:dyDescent="0.2">
      <c r="A43" s="347" t="s">
        <v>421</v>
      </c>
      <c r="B43" s="415"/>
      <c r="C43" s="415"/>
      <c r="D43" s="415"/>
      <c r="E43" s="415"/>
      <c r="F43" s="396"/>
      <c r="G43" s="394"/>
      <c r="H43" s="318"/>
      <c r="I43" s="84"/>
      <c r="J43" s="392"/>
      <c r="K43" s="412"/>
      <c r="L43" s="413"/>
      <c r="M43" s="413"/>
      <c r="N43" s="109"/>
      <c r="O43" s="109"/>
    </row>
    <row r="44" spans="1:23" s="18" customFormat="1" ht="41.25" customHeight="1" x14ac:dyDescent="0.2">
      <c r="A44" s="429" t="s">
        <v>278</v>
      </c>
      <c r="B44" s="915" t="s">
        <v>276</v>
      </c>
      <c r="C44" s="915"/>
      <c r="D44" s="915"/>
      <c r="E44" s="915"/>
      <c r="F44" s="396" t="s">
        <v>277</v>
      </c>
      <c r="G44" s="394" t="s">
        <v>5</v>
      </c>
      <c r="H44" s="318">
        <v>10</v>
      </c>
      <c r="I44" s="84">
        <f>ROUND(1*33*1.108,2)</f>
        <v>36.56</v>
      </c>
      <c r="J44" s="392">
        <f>H44*I44</f>
        <v>365.6</v>
      </c>
      <c r="K44" s="930" t="s">
        <v>370</v>
      </c>
      <c r="L44" s="931"/>
      <c r="M44" s="931"/>
      <c r="N44" s="109"/>
      <c r="O44" s="109"/>
    </row>
    <row r="45" spans="1:23" s="18" customFormat="1" ht="44.25" customHeight="1" x14ac:dyDescent="0.2">
      <c r="A45" s="429" t="s">
        <v>282</v>
      </c>
      <c r="B45" s="915" t="s">
        <v>279</v>
      </c>
      <c r="C45" s="915"/>
      <c r="D45" s="915"/>
      <c r="E45" s="915"/>
      <c r="F45" s="396" t="s">
        <v>280</v>
      </c>
      <c r="G45" s="394" t="s">
        <v>5</v>
      </c>
      <c r="H45" s="318">
        <v>1</v>
      </c>
      <c r="I45" s="84">
        <f>ROUND(1*175*1.108,2)</f>
        <v>193.9</v>
      </c>
      <c r="J45" s="392">
        <f t="shared" si="0"/>
        <v>193.9</v>
      </c>
      <c r="K45" s="930" t="s">
        <v>281</v>
      </c>
      <c r="L45" s="931"/>
      <c r="M45" s="931"/>
      <c r="N45" s="109"/>
      <c r="O45" s="109"/>
    </row>
    <row r="46" spans="1:23" s="18" customFormat="1" ht="21" customHeight="1" x14ac:dyDescent="0.2">
      <c r="A46" s="348" t="s">
        <v>423</v>
      </c>
      <c r="B46" s="415"/>
      <c r="C46" s="415"/>
      <c r="D46" s="415"/>
      <c r="E46" s="415"/>
      <c r="F46" s="396"/>
      <c r="G46" s="394"/>
      <c r="H46" s="318"/>
      <c r="I46" s="84"/>
      <c r="J46" s="392"/>
      <c r="K46" s="412"/>
      <c r="L46" s="413"/>
      <c r="M46" s="413"/>
      <c r="N46" s="109"/>
      <c r="O46" s="109"/>
    </row>
    <row r="47" spans="1:23" s="18" customFormat="1" ht="56.25" customHeight="1" x14ac:dyDescent="0.2">
      <c r="A47" s="429" t="s">
        <v>286</v>
      </c>
      <c r="B47" s="915" t="s">
        <v>283</v>
      </c>
      <c r="C47" s="915"/>
      <c r="D47" s="915"/>
      <c r="E47" s="915"/>
      <c r="F47" s="396" t="s">
        <v>284</v>
      </c>
      <c r="G47" s="394" t="s">
        <v>285</v>
      </c>
      <c r="H47" s="393">
        <f>9*15.43</f>
        <v>138.87</v>
      </c>
      <c r="I47" s="84">
        <f>ROUND(1*30*G12,2)</f>
        <v>35.97</v>
      </c>
      <c r="J47" s="392">
        <f t="shared" si="0"/>
        <v>4995.1539000000002</v>
      </c>
      <c r="K47" s="930" t="s">
        <v>412</v>
      </c>
      <c r="L47" s="931"/>
      <c r="M47" s="931"/>
      <c r="N47" s="109"/>
      <c r="O47" s="109"/>
    </row>
    <row r="48" spans="1:23" s="18" customFormat="1" ht="48.75" customHeight="1" x14ac:dyDescent="0.2">
      <c r="A48" s="429" t="s">
        <v>289</v>
      </c>
      <c r="B48" s="808" t="s">
        <v>287</v>
      </c>
      <c r="C48" s="809"/>
      <c r="D48" s="809"/>
      <c r="E48" s="810"/>
      <c r="F48" s="396" t="s">
        <v>288</v>
      </c>
      <c r="G48" s="394" t="s">
        <v>5</v>
      </c>
      <c r="H48" s="318">
        <v>15</v>
      </c>
      <c r="I48" s="84">
        <f>ROUND(1*17*G12,2)</f>
        <v>20.38</v>
      </c>
      <c r="J48" s="392">
        <f t="shared" si="0"/>
        <v>305.7</v>
      </c>
      <c r="K48" s="940" t="s">
        <v>413</v>
      </c>
      <c r="L48" s="941"/>
      <c r="M48" s="942"/>
      <c r="N48" s="109"/>
      <c r="O48" s="109"/>
    </row>
    <row r="49" spans="1:24" s="18" customFormat="1" ht="12" customHeight="1" x14ac:dyDescent="0.2">
      <c r="A49" s="348" t="s">
        <v>422</v>
      </c>
      <c r="B49" s="387"/>
      <c r="C49" s="388"/>
      <c r="D49" s="388"/>
      <c r="E49" s="389"/>
      <c r="F49" s="396"/>
      <c r="G49" s="384"/>
      <c r="H49" s="400"/>
      <c r="I49" s="215"/>
      <c r="J49" s="392"/>
      <c r="K49" s="416"/>
      <c r="L49" s="417"/>
      <c r="M49" s="418"/>
      <c r="N49" s="109"/>
      <c r="O49" s="109"/>
    </row>
    <row r="50" spans="1:24" s="18" customFormat="1" ht="43.5" customHeight="1" x14ac:dyDescent="0.2">
      <c r="A50" s="429" t="s">
        <v>293</v>
      </c>
      <c r="B50" s="808" t="s">
        <v>290</v>
      </c>
      <c r="C50" s="809"/>
      <c r="D50" s="809"/>
      <c r="E50" s="810"/>
      <c r="F50" s="396" t="s">
        <v>291</v>
      </c>
      <c r="G50" s="384" t="s">
        <v>5</v>
      </c>
      <c r="H50" s="400">
        <v>12</v>
      </c>
      <c r="I50" s="79">
        <f>ROUND(1*44*G12,2)</f>
        <v>52.76</v>
      </c>
      <c r="J50" s="392">
        <f t="shared" si="0"/>
        <v>633.12</v>
      </c>
      <c r="K50" s="940" t="s">
        <v>414</v>
      </c>
      <c r="L50" s="941"/>
      <c r="M50" s="942"/>
      <c r="N50" s="109"/>
      <c r="O50" s="109"/>
      <c r="P50" s="26"/>
      <c r="Q50" s="26"/>
      <c r="R50" s="320"/>
      <c r="S50" s="320"/>
      <c r="T50" s="320"/>
      <c r="U50" s="320"/>
      <c r="V50" s="320"/>
    </row>
    <row r="51" spans="1:24" s="18" customFormat="1" ht="21" customHeight="1" x14ac:dyDescent="0.2">
      <c r="A51" s="394"/>
      <c r="B51" s="321" t="s">
        <v>292</v>
      </c>
      <c r="C51" s="420"/>
      <c r="D51" s="420"/>
      <c r="E51" s="420"/>
      <c r="F51" s="396"/>
      <c r="G51" s="394"/>
      <c r="H51" s="322"/>
      <c r="I51" s="392"/>
      <c r="J51" s="392"/>
      <c r="K51" s="930"/>
      <c r="L51" s="931"/>
      <c r="M51" s="931"/>
      <c r="N51" s="107"/>
      <c r="O51" s="107"/>
      <c r="P51" s="26"/>
      <c r="Q51" s="26"/>
      <c r="R51" s="320"/>
      <c r="S51" s="320"/>
      <c r="T51" s="320"/>
      <c r="U51" s="320"/>
      <c r="V51" s="320"/>
    </row>
    <row r="52" spans="1:24" s="18" customFormat="1" ht="15.75" customHeight="1" x14ac:dyDescent="0.2">
      <c r="A52" s="423" t="s">
        <v>429</v>
      </c>
      <c r="B52" s="372"/>
      <c r="C52" s="421"/>
      <c r="D52" s="421"/>
      <c r="E52" s="422"/>
      <c r="F52" s="396"/>
      <c r="G52" s="394"/>
      <c r="H52" s="322"/>
      <c r="I52" s="392"/>
      <c r="J52" s="392"/>
      <c r="K52" s="412"/>
      <c r="L52" s="413"/>
      <c r="M52" s="413"/>
      <c r="N52" s="107"/>
      <c r="O52" s="107"/>
      <c r="P52" s="26"/>
      <c r="Q52" s="26"/>
      <c r="R52" s="320"/>
      <c r="S52" s="320"/>
      <c r="T52" s="320"/>
      <c r="U52" s="320"/>
      <c r="V52" s="320"/>
    </row>
    <row r="53" spans="1:24" s="18" customFormat="1" ht="61.15" customHeight="1" x14ac:dyDescent="0.2">
      <c r="A53" s="394" t="s">
        <v>296</v>
      </c>
      <c r="B53" s="808" t="s">
        <v>294</v>
      </c>
      <c r="C53" s="809"/>
      <c r="D53" s="809"/>
      <c r="E53" s="833"/>
      <c r="F53" s="396" t="s">
        <v>295</v>
      </c>
      <c r="G53" s="394" t="s">
        <v>5</v>
      </c>
      <c r="H53" s="318">
        <v>8</v>
      </c>
      <c r="I53" s="392">
        <f>ROUND(1*13*$G$12,2)</f>
        <v>15.59</v>
      </c>
      <c r="J53" s="392">
        <f t="shared" si="0"/>
        <v>124.72</v>
      </c>
      <c r="K53" s="930" t="s">
        <v>371</v>
      </c>
      <c r="L53" s="931"/>
      <c r="M53" s="931"/>
      <c r="N53" s="109"/>
      <c r="O53" s="109"/>
      <c r="P53" s="26"/>
      <c r="Q53" s="26"/>
      <c r="R53" s="323"/>
      <c r="S53" s="320"/>
      <c r="T53" s="320"/>
      <c r="U53" s="320"/>
      <c r="V53" s="15"/>
    </row>
    <row r="54" spans="1:24" ht="59.45" customHeight="1" x14ac:dyDescent="0.2">
      <c r="A54" s="394" t="s">
        <v>299</v>
      </c>
      <c r="B54" s="808" t="s">
        <v>297</v>
      </c>
      <c r="C54" s="809"/>
      <c r="D54" s="809"/>
      <c r="E54" s="833"/>
      <c r="F54" s="396" t="s">
        <v>298</v>
      </c>
      <c r="G54" s="394" t="s">
        <v>5</v>
      </c>
      <c r="H54" s="318">
        <v>8</v>
      </c>
      <c r="I54" s="392">
        <f>ROUND(1*10*$G$12,2)</f>
        <v>11.99</v>
      </c>
      <c r="J54" s="392">
        <f t="shared" si="0"/>
        <v>95.92</v>
      </c>
      <c r="K54" s="930" t="s">
        <v>372</v>
      </c>
      <c r="L54" s="931"/>
      <c r="M54" s="931"/>
      <c r="N54" s="109"/>
      <c r="O54" s="109"/>
      <c r="R54" s="324"/>
      <c r="T54" s="324"/>
      <c r="V54" s="324"/>
    </row>
    <row r="55" spans="1:24" ht="55.15" customHeight="1" x14ac:dyDescent="0.2">
      <c r="A55" s="394" t="s">
        <v>302</v>
      </c>
      <c r="B55" s="808" t="s">
        <v>300</v>
      </c>
      <c r="C55" s="809"/>
      <c r="D55" s="809"/>
      <c r="E55" s="810"/>
      <c r="F55" s="396" t="s">
        <v>301</v>
      </c>
      <c r="G55" s="394" t="s">
        <v>5</v>
      </c>
      <c r="H55" s="318">
        <v>4</v>
      </c>
      <c r="I55" s="392">
        <f>ROUND(1*32*$G$12,2)</f>
        <v>38.369999999999997</v>
      </c>
      <c r="J55" s="392">
        <f t="shared" si="0"/>
        <v>153.47999999999999</v>
      </c>
      <c r="K55" s="930" t="s">
        <v>373</v>
      </c>
      <c r="L55" s="931"/>
      <c r="M55" s="931"/>
      <c r="N55" s="109"/>
      <c r="O55" s="109"/>
      <c r="R55" s="324"/>
      <c r="T55" s="324"/>
      <c r="V55" s="324"/>
      <c r="W55" s="320"/>
      <c r="X55" s="320"/>
    </row>
    <row r="56" spans="1:24" ht="55.9" customHeight="1" x14ac:dyDescent="0.2">
      <c r="A56" s="394" t="s">
        <v>305</v>
      </c>
      <c r="B56" s="808" t="s">
        <v>303</v>
      </c>
      <c r="C56" s="809"/>
      <c r="D56" s="809"/>
      <c r="E56" s="833"/>
      <c r="F56" s="396" t="s">
        <v>304</v>
      </c>
      <c r="G56" s="394" t="s">
        <v>5</v>
      </c>
      <c r="H56" s="318">
        <v>8</v>
      </c>
      <c r="I56" s="392">
        <f>ROUND(1*39*$G$12,2)</f>
        <v>46.76</v>
      </c>
      <c r="J56" s="392">
        <f t="shared" si="0"/>
        <v>374.08</v>
      </c>
      <c r="K56" s="930" t="s">
        <v>374</v>
      </c>
      <c r="L56" s="931"/>
      <c r="M56" s="931"/>
      <c r="N56" s="109"/>
      <c r="O56" s="109"/>
      <c r="Q56" s="25"/>
      <c r="R56" s="33"/>
      <c r="T56" s="33"/>
      <c r="U56" s="16"/>
      <c r="V56" s="15"/>
    </row>
    <row r="57" spans="1:24" ht="54" customHeight="1" x14ac:dyDescent="0.2">
      <c r="A57" s="394" t="s">
        <v>308</v>
      </c>
      <c r="B57" s="944" t="s">
        <v>306</v>
      </c>
      <c r="C57" s="945"/>
      <c r="D57" s="945"/>
      <c r="E57" s="833"/>
      <c r="F57" s="396" t="s">
        <v>307</v>
      </c>
      <c r="G57" s="394" t="s">
        <v>5</v>
      </c>
      <c r="H57" s="318">
        <v>8</v>
      </c>
      <c r="I57" s="392">
        <f>ROUND(1*39*$G$12,2)</f>
        <v>46.76</v>
      </c>
      <c r="J57" s="392">
        <f t="shared" si="0"/>
        <v>374.08</v>
      </c>
      <c r="K57" s="930" t="s">
        <v>375</v>
      </c>
      <c r="L57" s="931"/>
      <c r="M57" s="931"/>
      <c r="N57" s="109"/>
      <c r="O57" s="109"/>
      <c r="P57" s="325"/>
      <c r="Q57" s="25"/>
      <c r="R57" s="33"/>
      <c r="S57" s="33"/>
      <c r="T57" s="33"/>
      <c r="U57" s="16"/>
      <c r="V57" s="15"/>
      <c r="X57" s="324"/>
    </row>
    <row r="58" spans="1:24" ht="57" customHeight="1" x14ac:dyDescent="0.2">
      <c r="A58" s="394" t="s">
        <v>311</v>
      </c>
      <c r="B58" s="808" t="s">
        <v>309</v>
      </c>
      <c r="C58" s="809"/>
      <c r="D58" s="809"/>
      <c r="E58" s="833"/>
      <c r="F58" s="396" t="s">
        <v>310</v>
      </c>
      <c r="G58" s="394" t="s">
        <v>5</v>
      </c>
      <c r="H58" s="318">
        <v>2</v>
      </c>
      <c r="I58" s="392">
        <f>ROUND(1*57*$G$12,2)</f>
        <v>68.34</v>
      </c>
      <c r="J58" s="392">
        <f t="shared" si="0"/>
        <v>136.68</v>
      </c>
      <c r="K58" s="930" t="s">
        <v>349</v>
      </c>
      <c r="L58" s="931"/>
      <c r="M58" s="931"/>
      <c r="N58" s="109"/>
      <c r="O58" s="109"/>
      <c r="P58" s="325"/>
      <c r="Q58" s="25"/>
      <c r="R58" s="33"/>
      <c r="S58" s="33"/>
      <c r="T58" s="33"/>
      <c r="U58" s="16"/>
      <c r="V58" s="15"/>
      <c r="X58" s="324"/>
    </row>
    <row r="59" spans="1:24" ht="18.75" customHeight="1" x14ac:dyDescent="0.2">
      <c r="A59" s="423" t="s">
        <v>430</v>
      </c>
      <c r="B59" s="387"/>
      <c r="C59" s="388"/>
      <c r="D59" s="388"/>
      <c r="E59" s="414"/>
      <c r="F59" s="396"/>
      <c r="G59" s="394"/>
      <c r="H59" s="318"/>
      <c r="I59" s="392"/>
      <c r="J59" s="392"/>
      <c r="K59" s="412"/>
      <c r="L59" s="413"/>
      <c r="M59" s="413"/>
      <c r="N59" s="109"/>
      <c r="O59" s="109"/>
      <c r="P59" s="239"/>
      <c r="Q59" s="25"/>
      <c r="R59" s="33"/>
      <c r="S59" s="33"/>
      <c r="T59" s="33"/>
      <c r="U59" s="16"/>
      <c r="V59" s="15"/>
    </row>
    <row r="60" spans="1:24" ht="48" customHeight="1" x14ac:dyDescent="0.2">
      <c r="A60" s="394" t="s">
        <v>314</v>
      </c>
      <c r="B60" s="808" t="s">
        <v>312</v>
      </c>
      <c r="C60" s="809"/>
      <c r="D60" s="809"/>
      <c r="E60" s="833"/>
      <c r="F60" s="396" t="s">
        <v>313</v>
      </c>
      <c r="G60" s="394" t="s">
        <v>5</v>
      </c>
      <c r="H60" s="318">
        <v>10</v>
      </c>
      <c r="I60" s="392">
        <f>ROUND(1*60*$G$12,2)</f>
        <v>71.94</v>
      </c>
      <c r="J60" s="392">
        <f t="shared" si="0"/>
        <v>719.4</v>
      </c>
      <c r="K60" s="930" t="s">
        <v>415</v>
      </c>
      <c r="L60" s="931"/>
      <c r="M60" s="931"/>
      <c r="N60" s="109"/>
      <c r="O60" s="109"/>
      <c r="P60" s="325"/>
      <c r="Q60" s="25"/>
      <c r="R60" s="33"/>
      <c r="S60" s="33"/>
      <c r="T60" s="33"/>
      <c r="U60" s="16"/>
      <c r="V60" s="15"/>
      <c r="X60" s="324"/>
    </row>
    <row r="61" spans="1:24" ht="46.9" customHeight="1" x14ac:dyDescent="0.2">
      <c r="A61" s="394" t="s">
        <v>317</v>
      </c>
      <c r="B61" s="808" t="s">
        <v>315</v>
      </c>
      <c r="C61" s="809"/>
      <c r="D61" s="809"/>
      <c r="E61" s="833"/>
      <c r="F61" s="396" t="s">
        <v>316</v>
      </c>
      <c r="G61" s="394" t="s">
        <v>5</v>
      </c>
      <c r="H61" s="318">
        <v>10</v>
      </c>
      <c r="I61" s="392">
        <f>ROUND(1*142*$G$12,2)</f>
        <v>170.26</v>
      </c>
      <c r="J61" s="392">
        <f t="shared" si="0"/>
        <v>1702.6</v>
      </c>
      <c r="K61" s="930" t="s">
        <v>376</v>
      </c>
      <c r="L61" s="931"/>
      <c r="M61" s="931"/>
      <c r="N61" s="109"/>
      <c r="O61" s="109"/>
      <c r="P61" s="239"/>
      <c r="Q61" s="25"/>
      <c r="R61" s="33"/>
      <c r="S61" s="33"/>
      <c r="T61" s="33"/>
      <c r="U61" s="16"/>
      <c r="V61" s="15"/>
    </row>
    <row r="62" spans="1:24" ht="56.45" customHeight="1" x14ac:dyDescent="0.2">
      <c r="A62" s="394" t="s">
        <v>320</v>
      </c>
      <c r="B62" s="808" t="s">
        <v>318</v>
      </c>
      <c r="C62" s="809"/>
      <c r="D62" s="809"/>
      <c r="E62" s="833"/>
      <c r="F62" s="396" t="s">
        <v>319</v>
      </c>
      <c r="G62" s="394" t="s">
        <v>5</v>
      </c>
      <c r="H62" s="318">
        <v>5</v>
      </c>
      <c r="I62" s="392">
        <f>ROUND(1*115*$G$12,2)</f>
        <v>137.88999999999999</v>
      </c>
      <c r="J62" s="392">
        <f t="shared" si="0"/>
        <v>689.44999999999993</v>
      </c>
      <c r="K62" s="930" t="s">
        <v>377</v>
      </c>
      <c r="L62" s="931"/>
      <c r="M62" s="931"/>
      <c r="N62" s="109"/>
      <c r="O62" s="109"/>
      <c r="P62" s="239"/>
      <c r="Q62" s="25"/>
      <c r="R62" s="33"/>
      <c r="S62" s="33"/>
      <c r="T62" s="33"/>
      <c r="U62" s="16"/>
      <c r="V62" s="15"/>
    </row>
    <row r="63" spans="1:24" ht="54" customHeight="1" x14ac:dyDescent="0.2">
      <c r="A63" s="394" t="s">
        <v>322</v>
      </c>
      <c r="B63" s="943" t="s">
        <v>321</v>
      </c>
      <c r="C63" s="835"/>
      <c r="D63" s="835"/>
      <c r="E63" s="836"/>
      <c r="F63" s="396" t="s">
        <v>386</v>
      </c>
      <c r="G63" s="359" t="s">
        <v>5</v>
      </c>
      <c r="H63" s="399">
        <v>5</v>
      </c>
      <c r="I63" s="392">
        <f>ROUND(1*45*$G$12,2)</f>
        <v>53.96</v>
      </c>
      <c r="J63" s="363">
        <f t="shared" si="0"/>
        <v>269.8</v>
      </c>
      <c r="K63" s="326" t="s">
        <v>416</v>
      </c>
      <c r="L63" s="397"/>
      <c r="M63" s="398"/>
      <c r="N63" s="109"/>
      <c r="O63" s="109"/>
      <c r="P63" s="239"/>
      <c r="Q63" s="25"/>
      <c r="R63" s="33"/>
      <c r="S63" s="33"/>
      <c r="T63" s="33"/>
      <c r="U63" s="16"/>
      <c r="V63" s="15"/>
    </row>
    <row r="64" spans="1:24" ht="52.9" customHeight="1" x14ac:dyDescent="0.2">
      <c r="A64" s="394" t="s">
        <v>325</v>
      </c>
      <c r="B64" s="915" t="s">
        <v>323</v>
      </c>
      <c r="C64" s="915"/>
      <c r="D64" s="915"/>
      <c r="E64" s="917"/>
      <c r="F64" s="396" t="s">
        <v>324</v>
      </c>
      <c r="G64" s="394" t="s">
        <v>5</v>
      </c>
      <c r="H64" s="318">
        <v>3</v>
      </c>
      <c r="I64" s="392">
        <f>ROUND(1*36*$G$12,2)</f>
        <v>43.16</v>
      </c>
      <c r="J64" s="392">
        <f t="shared" si="0"/>
        <v>129.47999999999999</v>
      </c>
      <c r="K64" s="930" t="s">
        <v>378</v>
      </c>
      <c r="L64" s="931"/>
      <c r="M64" s="931"/>
      <c r="N64" s="109"/>
      <c r="O64" s="109"/>
      <c r="P64" s="239"/>
      <c r="Q64" s="25"/>
      <c r="R64" s="33"/>
      <c r="S64" s="33"/>
      <c r="T64" s="33"/>
      <c r="U64" s="16"/>
      <c r="V64" s="15"/>
    </row>
    <row r="65" spans="1:22" ht="47.45" customHeight="1" x14ac:dyDescent="0.2">
      <c r="A65" s="394" t="s">
        <v>328</v>
      </c>
      <c r="B65" s="915" t="s">
        <v>326</v>
      </c>
      <c r="C65" s="915"/>
      <c r="D65" s="915"/>
      <c r="E65" s="917"/>
      <c r="F65" s="396" t="s">
        <v>327</v>
      </c>
      <c r="G65" s="394" t="s">
        <v>5</v>
      </c>
      <c r="H65" s="318">
        <v>7</v>
      </c>
      <c r="I65" s="392">
        <f>ROUND(1*43*$G$12,2)</f>
        <v>51.56</v>
      </c>
      <c r="J65" s="392">
        <f t="shared" si="0"/>
        <v>360.92</v>
      </c>
      <c r="K65" s="930" t="s">
        <v>379</v>
      </c>
      <c r="L65" s="931"/>
      <c r="M65" s="931"/>
      <c r="N65" s="109"/>
      <c r="O65" s="109"/>
      <c r="P65" s="239"/>
      <c r="Q65" s="327"/>
      <c r="R65" s="327"/>
      <c r="S65" s="327"/>
      <c r="T65" s="327"/>
      <c r="U65" s="327"/>
      <c r="V65" s="327"/>
    </row>
    <row r="66" spans="1:22" ht="51" customHeight="1" x14ac:dyDescent="0.2">
      <c r="A66" s="394" t="s">
        <v>331</v>
      </c>
      <c r="B66" s="915" t="s">
        <v>329</v>
      </c>
      <c r="C66" s="915"/>
      <c r="D66" s="915"/>
      <c r="E66" s="917"/>
      <c r="F66" s="396" t="s">
        <v>330</v>
      </c>
      <c r="G66" s="394" t="s">
        <v>5</v>
      </c>
      <c r="H66" s="318">
        <v>3</v>
      </c>
      <c r="I66" s="392">
        <f>ROUND(1*59*$G$12,2)</f>
        <v>70.739999999999995</v>
      </c>
      <c r="J66" s="392">
        <f t="shared" si="0"/>
        <v>212.21999999999997</v>
      </c>
      <c r="K66" s="930" t="s">
        <v>380</v>
      </c>
      <c r="L66" s="931"/>
      <c r="M66" s="931"/>
      <c r="N66" s="109"/>
      <c r="O66" s="109"/>
      <c r="P66" s="25"/>
      <c r="Q66" s="327"/>
      <c r="R66" s="327"/>
      <c r="S66" s="327"/>
      <c r="T66" s="327"/>
      <c r="U66" s="327"/>
      <c r="V66" s="327"/>
    </row>
    <row r="67" spans="1:22" ht="15.75" customHeight="1" x14ac:dyDescent="0.2">
      <c r="A67" s="423" t="s">
        <v>431</v>
      </c>
      <c r="B67" s="415"/>
      <c r="C67" s="415"/>
      <c r="D67" s="415"/>
      <c r="E67" s="419"/>
      <c r="F67" s="396"/>
      <c r="G67" s="394"/>
      <c r="H67" s="318"/>
      <c r="I67" s="392"/>
      <c r="J67" s="392"/>
      <c r="K67" s="416"/>
      <c r="L67" s="397"/>
      <c r="M67" s="398"/>
      <c r="N67" s="109"/>
      <c r="O67" s="109"/>
      <c r="P67" s="25"/>
      <c r="Q67" s="327"/>
      <c r="R67" s="327"/>
      <c r="S67" s="327"/>
      <c r="T67" s="327"/>
      <c r="U67" s="327"/>
      <c r="V67" s="327"/>
    </row>
    <row r="68" spans="1:22" ht="49.9" customHeight="1" x14ac:dyDescent="0.2">
      <c r="A68" s="394" t="s">
        <v>335</v>
      </c>
      <c r="B68" s="916" t="s">
        <v>332</v>
      </c>
      <c r="C68" s="917"/>
      <c r="D68" s="917"/>
      <c r="E68" s="917"/>
      <c r="F68" s="396" t="s">
        <v>333</v>
      </c>
      <c r="G68" s="394" t="s">
        <v>5</v>
      </c>
      <c r="H68" s="318">
        <v>2</v>
      </c>
      <c r="I68" s="392">
        <f>ROUND(1*55*$G$12,2)</f>
        <v>65.95</v>
      </c>
      <c r="J68" s="392">
        <f t="shared" si="0"/>
        <v>131.9</v>
      </c>
      <c r="K68" s="946" t="s">
        <v>334</v>
      </c>
      <c r="L68" s="788"/>
      <c r="M68" s="789"/>
      <c r="N68" s="109"/>
      <c r="O68" s="109"/>
      <c r="P68" s="25"/>
      <c r="Q68" s="327"/>
      <c r="R68" s="327"/>
      <c r="S68" s="327"/>
      <c r="T68" s="327"/>
      <c r="U68" s="327"/>
      <c r="V68" s="327"/>
    </row>
    <row r="69" spans="1:22" ht="51" customHeight="1" x14ac:dyDescent="0.2">
      <c r="A69" s="429" t="s">
        <v>350</v>
      </c>
      <c r="B69" s="916" t="s">
        <v>336</v>
      </c>
      <c r="C69" s="917"/>
      <c r="D69" s="917"/>
      <c r="E69" s="917"/>
      <c r="F69" s="396" t="s">
        <v>337</v>
      </c>
      <c r="G69" s="394" t="s">
        <v>5</v>
      </c>
      <c r="H69" s="318">
        <v>2</v>
      </c>
      <c r="I69" s="392">
        <f>ROUND(1*41*$G$12,2)</f>
        <v>49.16</v>
      </c>
      <c r="J69" s="392">
        <f t="shared" si="0"/>
        <v>98.32</v>
      </c>
      <c r="K69" s="946" t="s">
        <v>338</v>
      </c>
      <c r="L69" s="788"/>
      <c r="M69" s="789"/>
      <c r="N69" s="109"/>
      <c r="O69" s="109"/>
      <c r="P69" s="25"/>
      <c r="Q69" s="327"/>
      <c r="R69" s="327"/>
      <c r="S69" s="327"/>
      <c r="T69" s="327"/>
      <c r="U69" s="327"/>
      <c r="V69" s="327"/>
    </row>
    <row r="70" spans="1:22" s="18" customFormat="1" ht="19.149999999999999" customHeight="1" x14ac:dyDescent="0.2">
      <c r="A70" s="361"/>
      <c r="B70" s="947" t="s">
        <v>339</v>
      </c>
      <c r="C70" s="733"/>
      <c r="D70" s="733"/>
      <c r="E70" s="733"/>
      <c r="F70" s="707"/>
      <c r="G70" s="359"/>
      <c r="H70" s="360"/>
      <c r="I70" s="410"/>
      <c r="J70" s="363">
        <f>SUM(J33:J69)</f>
        <v>23830.135810000003</v>
      </c>
      <c r="K70" s="507"/>
      <c r="L70" s="486"/>
      <c r="M70" s="508"/>
      <c r="N70" s="19"/>
      <c r="O70" s="19"/>
    </row>
    <row r="71" spans="1:22" s="18" customFormat="1" ht="18" customHeight="1" x14ac:dyDescent="0.2">
      <c r="A71" s="394"/>
      <c r="B71" s="328" t="s">
        <v>340</v>
      </c>
      <c r="C71" s="213"/>
      <c r="D71" s="213"/>
      <c r="E71" s="213"/>
      <c r="F71" s="213"/>
      <c r="G71" s="394"/>
      <c r="H71" s="393"/>
      <c r="I71" s="392"/>
      <c r="J71" s="392">
        <f>J30</f>
        <v>8991.0986552828908</v>
      </c>
      <c r="K71" s="498"/>
      <c r="L71" s="19"/>
      <c r="M71" s="215"/>
      <c r="N71" s="19">
        <f>J71</f>
        <v>8991.0986552828908</v>
      </c>
      <c r="O71" s="19"/>
    </row>
    <row r="72" spans="1:22" s="18" customFormat="1" ht="18.600000000000001" customHeight="1" x14ac:dyDescent="0.2">
      <c r="A72" s="394"/>
      <c r="B72" s="775"/>
      <c r="C72" s="948"/>
      <c r="D72" s="948"/>
      <c r="E72" s="948"/>
      <c r="F72" s="949"/>
      <c r="G72" s="394"/>
      <c r="H72" s="393"/>
      <c r="I72" s="71"/>
      <c r="J72" s="392"/>
      <c r="K72" s="498"/>
      <c r="L72" s="19"/>
      <c r="M72" s="215"/>
      <c r="N72" s="19"/>
      <c r="O72" s="19"/>
    </row>
    <row r="73" spans="1:22" s="18" customFormat="1" ht="16.5" customHeight="1" x14ac:dyDescent="0.2">
      <c r="A73" s="906" t="s">
        <v>493</v>
      </c>
      <c r="B73" s="907"/>
      <c r="C73" s="907"/>
      <c r="D73" s="907"/>
      <c r="E73" s="907"/>
      <c r="F73" s="907"/>
      <c r="G73" s="907"/>
      <c r="H73" s="907"/>
      <c r="I73" s="908"/>
      <c r="J73" s="464">
        <f>J70+J71+J72</f>
        <v>32821.234465282891</v>
      </c>
      <c r="K73" s="126"/>
      <c r="L73" s="127"/>
      <c r="M73" s="84"/>
      <c r="N73" s="19"/>
      <c r="O73" s="19"/>
    </row>
    <row r="74" spans="1:22" s="504" customFormat="1" ht="25.5" customHeight="1" x14ac:dyDescent="0.2">
      <c r="A74" s="906" t="s">
        <v>527</v>
      </c>
      <c r="B74" s="907"/>
      <c r="C74" s="907"/>
      <c r="D74" s="907"/>
      <c r="E74" s="907"/>
      <c r="F74" s="907"/>
      <c r="G74" s="907"/>
      <c r="H74" s="907"/>
      <c r="I74" s="908"/>
      <c r="J74" s="464">
        <f>J70+J71</f>
        <v>32821.234465282891</v>
      </c>
      <c r="K74" s="447"/>
      <c r="L74" s="447"/>
      <c r="M74" s="447"/>
    </row>
    <row r="75" spans="1:22" s="504" customFormat="1" ht="15" customHeight="1" x14ac:dyDescent="0.25">
      <c r="A75" s="882"/>
      <c r="B75" s="883"/>
      <c r="C75" s="883"/>
      <c r="D75" s="883"/>
      <c r="E75" s="883"/>
      <c r="F75" s="883"/>
      <c r="G75" s="883"/>
      <c r="H75" s="883"/>
      <c r="I75" s="884"/>
      <c r="J75" s="554"/>
      <c r="K75" s="447"/>
      <c r="L75" s="447"/>
      <c r="M75" s="447"/>
    </row>
    <row r="76" spans="1:22" ht="12.75" customHeight="1" x14ac:dyDescent="0.2">
      <c r="A76" s="374"/>
      <c r="B76" s="374"/>
      <c r="C76" s="374"/>
      <c r="D76" s="374"/>
      <c r="E76" s="374"/>
      <c r="F76" s="374"/>
      <c r="G76" s="373"/>
      <c r="H76" s="683"/>
      <c r="I76" s="683"/>
      <c r="J76" s="683"/>
      <c r="K76" s="683"/>
      <c r="L76" s="224"/>
      <c r="M76" s="142"/>
      <c r="N76" s="356"/>
    </row>
    <row r="77" spans="1:22" ht="13.5" x14ac:dyDescent="0.2">
      <c r="B77" s="766"/>
      <c r="C77" s="766"/>
      <c r="D77" s="767"/>
      <c r="E77" s="768"/>
      <c r="F77" s="26"/>
      <c r="G77" s="374"/>
      <c r="H77" s="682"/>
      <c r="I77" s="682"/>
      <c r="J77" s="682"/>
      <c r="K77" s="682"/>
      <c r="L77" s="225"/>
      <c r="M77" s="374"/>
      <c r="N77" s="356"/>
    </row>
    <row r="78" spans="1:22" ht="13.5" x14ac:dyDescent="0.2">
      <c r="B78" s="659"/>
      <c r="C78" s="659"/>
      <c r="D78" s="659"/>
      <c r="E78" s="659"/>
      <c r="F78" s="26"/>
      <c r="G78" s="374"/>
      <c r="H78" s="374"/>
      <c r="I78" s="374"/>
      <c r="J78" s="374"/>
      <c r="K78" s="374"/>
      <c r="L78" s="225"/>
      <c r="M78" s="374"/>
      <c r="N78" s="356"/>
    </row>
    <row r="79" spans="1:22" x14ac:dyDescent="0.2">
      <c r="B79" s="371"/>
      <c r="C79" s="371"/>
      <c r="D79" s="371"/>
      <c r="F79" s="26"/>
      <c r="G79" s="26"/>
      <c r="H79" s="356"/>
      <c r="I79" s="659"/>
      <c r="J79" s="659"/>
      <c r="K79" s="356"/>
      <c r="L79" s="239"/>
      <c r="M79" s="5"/>
      <c r="N79" s="356"/>
    </row>
    <row r="80" spans="1:22" x14ac:dyDescent="0.2">
      <c r="B80" s="371"/>
      <c r="C80" s="371"/>
      <c r="D80" s="371"/>
      <c r="F80" s="26"/>
      <c r="G80" s="26"/>
      <c r="H80" s="356"/>
      <c r="I80" s="659"/>
      <c r="J80" s="659"/>
      <c r="K80" s="770"/>
      <c r="L80" s="239"/>
      <c r="M80" s="5"/>
      <c r="N80" s="239"/>
    </row>
    <row r="81" spans="1:14" x14ac:dyDescent="0.2">
      <c r="B81" s="659"/>
      <c r="C81" s="659"/>
      <c r="D81" s="769"/>
      <c r="E81" s="769"/>
      <c r="F81" s="26"/>
      <c r="G81" s="26"/>
      <c r="H81" s="371"/>
      <c r="I81" s="371"/>
      <c r="J81" s="371"/>
      <c r="K81" s="371"/>
      <c r="L81" s="239"/>
      <c r="M81" s="2"/>
      <c r="N81" s="356"/>
    </row>
    <row r="82" spans="1:14" x14ac:dyDescent="0.2">
      <c r="B82" s="356"/>
      <c r="C82" s="356"/>
      <c r="D82" s="370"/>
      <c r="E82" s="370"/>
      <c r="F82" s="26"/>
      <c r="G82" s="26"/>
      <c r="H82" s="371"/>
      <c r="I82" s="371"/>
      <c r="J82" s="371"/>
      <c r="K82" s="371"/>
      <c r="L82" s="239"/>
      <c r="M82" s="2"/>
      <c r="N82" s="356"/>
    </row>
    <row r="83" spans="1:14" x14ac:dyDescent="0.2">
      <c r="B83" s="356"/>
      <c r="C83" s="356"/>
      <c r="D83" s="371"/>
      <c r="E83" s="371"/>
      <c r="F83" s="356"/>
      <c r="G83" s="26"/>
      <c r="H83" s="356"/>
      <c r="I83" s="659"/>
      <c r="J83" s="659"/>
      <c r="K83" s="659"/>
      <c r="L83" s="239"/>
      <c r="M83" s="2"/>
      <c r="N83" s="356"/>
    </row>
    <row r="84" spans="1:14" x14ac:dyDescent="0.2">
      <c r="A84" s="43"/>
      <c r="B84" s="43"/>
      <c r="C84" s="43"/>
      <c r="D84" s="43"/>
      <c r="E84" s="43"/>
      <c r="F84" s="43"/>
      <c r="G84" s="26"/>
      <c r="H84" s="356"/>
      <c r="I84" s="356"/>
      <c r="J84" s="356"/>
      <c r="K84" s="356"/>
      <c r="L84" s="239"/>
      <c r="M84" s="2"/>
      <c r="N84" s="402"/>
    </row>
    <row r="85" spans="1:14" x14ac:dyDescent="0.2">
      <c r="C85" s="356"/>
      <c r="D85" s="356"/>
      <c r="E85" s="356"/>
      <c r="F85" s="362"/>
      <c r="G85" s="371"/>
      <c r="H85" s="371"/>
      <c r="I85" s="371"/>
      <c r="J85" s="371"/>
      <c r="K85" s="371"/>
      <c r="L85" s="371"/>
      <c r="M85" s="4"/>
    </row>
    <row r="86" spans="1:14" x14ac:dyDescent="0.2">
      <c r="B86" s="356"/>
      <c r="C86" s="356"/>
      <c r="D86" s="356"/>
      <c r="E86" s="356"/>
      <c r="F86" s="26"/>
      <c r="G86" s="43"/>
      <c r="H86" s="43"/>
      <c r="I86" s="43"/>
      <c r="J86" s="43"/>
      <c r="K86" s="43"/>
      <c r="L86" s="43"/>
      <c r="M86" s="43"/>
      <c r="N86" s="354"/>
    </row>
    <row r="87" spans="1:14" x14ac:dyDescent="0.2">
      <c r="G87" s="362"/>
      <c r="H87" s="362"/>
      <c r="I87" s="362"/>
      <c r="J87" s="362"/>
      <c r="K87" s="356"/>
      <c r="L87" s="356"/>
      <c r="M87" s="356"/>
      <c r="N87" s="354"/>
    </row>
    <row r="88" spans="1:14" x14ac:dyDescent="0.2">
      <c r="G88" s="356"/>
      <c r="H88" s="356"/>
      <c r="I88" s="356"/>
      <c r="J88" s="356"/>
      <c r="K88" s="356"/>
      <c r="L88" s="371"/>
      <c r="M88" s="356"/>
    </row>
  </sheetData>
  <mergeCells count="108">
    <mergeCell ref="B81:E81"/>
    <mergeCell ref="I83:K83"/>
    <mergeCell ref="B77:E77"/>
    <mergeCell ref="H77:I77"/>
    <mergeCell ref="J77:K77"/>
    <mergeCell ref="B78:E78"/>
    <mergeCell ref="I79:J79"/>
    <mergeCell ref="I80:K80"/>
    <mergeCell ref="H76:I76"/>
    <mergeCell ref="J76:K76"/>
    <mergeCell ref="K69:M69"/>
    <mergeCell ref="B70:F70"/>
    <mergeCell ref="B72:F72"/>
    <mergeCell ref="B65:E65"/>
    <mergeCell ref="K65:M65"/>
    <mergeCell ref="B66:E66"/>
    <mergeCell ref="K66:M66"/>
    <mergeCell ref="B68:E68"/>
    <mergeCell ref="K68:M68"/>
    <mergeCell ref="K61:M61"/>
    <mergeCell ref="B62:E62"/>
    <mergeCell ref="K62:M62"/>
    <mergeCell ref="B63:E63"/>
    <mergeCell ref="B64:E64"/>
    <mergeCell ref="K64:M64"/>
    <mergeCell ref="B57:E57"/>
    <mergeCell ref="K57:M57"/>
    <mergeCell ref="B58:E58"/>
    <mergeCell ref="K58:M58"/>
    <mergeCell ref="B60:E60"/>
    <mergeCell ref="K60:M60"/>
    <mergeCell ref="K54:M54"/>
    <mergeCell ref="B55:E55"/>
    <mergeCell ref="K55:M55"/>
    <mergeCell ref="B56:E56"/>
    <mergeCell ref="K56:M56"/>
    <mergeCell ref="B48:E48"/>
    <mergeCell ref="K48:M48"/>
    <mergeCell ref="B50:E50"/>
    <mergeCell ref="K50:M50"/>
    <mergeCell ref="K51:M51"/>
    <mergeCell ref="B53:E53"/>
    <mergeCell ref="K53:M53"/>
    <mergeCell ref="K44:M44"/>
    <mergeCell ref="B45:E45"/>
    <mergeCell ref="K45:M45"/>
    <mergeCell ref="B47:E47"/>
    <mergeCell ref="K47:M47"/>
    <mergeCell ref="B39:E39"/>
    <mergeCell ref="A40:F40"/>
    <mergeCell ref="B41:E41"/>
    <mergeCell ref="K41:M41"/>
    <mergeCell ref="B42:E42"/>
    <mergeCell ref="K42:M42"/>
    <mergeCell ref="K16:M16"/>
    <mergeCell ref="K17:M17"/>
    <mergeCell ref="A73:I73"/>
    <mergeCell ref="A20:A23"/>
    <mergeCell ref="B20:E23"/>
    <mergeCell ref="F20:F23"/>
    <mergeCell ref="G20:G23"/>
    <mergeCell ref="H20:H23"/>
    <mergeCell ref="I20:I23"/>
    <mergeCell ref="J20:J23"/>
    <mergeCell ref="B35:E35"/>
    <mergeCell ref="K35:M35"/>
    <mergeCell ref="A36:F36"/>
    <mergeCell ref="B37:E37"/>
    <mergeCell ref="K37:M37"/>
    <mergeCell ref="B38:E38"/>
    <mergeCell ref="K38:M38"/>
    <mergeCell ref="J24:J27"/>
    <mergeCell ref="B28:E29"/>
    <mergeCell ref="A30:F30"/>
    <mergeCell ref="B33:E33"/>
    <mergeCell ref="K33:M33"/>
    <mergeCell ref="B34:E34"/>
    <mergeCell ref="K34:M34"/>
    <mergeCell ref="A74:I74"/>
    <mergeCell ref="A75:I75"/>
    <mergeCell ref="A16:A18"/>
    <mergeCell ref="B16:E18"/>
    <mergeCell ref="F16:F18"/>
    <mergeCell ref="G16:G18"/>
    <mergeCell ref="H16:H18"/>
    <mergeCell ref="I16:I18"/>
    <mergeCell ref="J16:J18"/>
    <mergeCell ref="A24:A27"/>
    <mergeCell ref="B24:E27"/>
    <mergeCell ref="F24:F27"/>
    <mergeCell ref="G24:G27"/>
    <mergeCell ref="H24:H27"/>
    <mergeCell ref="I24:I27"/>
    <mergeCell ref="B44:E44"/>
    <mergeCell ref="B54:E54"/>
    <mergeCell ref="B61:E61"/>
    <mergeCell ref="B69:E69"/>
    <mergeCell ref="A6:M6"/>
    <mergeCell ref="A7:M7"/>
    <mergeCell ref="A9:E9"/>
    <mergeCell ref="F9:F11"/>
    <mergeCell ref="G9:I9"/>
    <mergeCell ref="J9:J11"/>
    <mergeCell ref="K9:M12"/>
    <mergeCell ref="A10:E10"/>
    <mergeCell ref="G10:G11"/>
    <mergeCell ref="I10:I11"/>
    <mergeCell ref="H10:H11"/>
  </mergeCells>
  <pageMargins left="0.7" right="0.7" top="0.75" bottom="0.75" header="0.3" footer="0.3"/>
  <pageSetup orientation="portrait" r:id="rId1"/>
  <rowBreaks count="3" manualBreakCount="3">
    <brk id="35" max="12" man="1"/>
    <brk id="50" max="12" man="1"/>
    <brk id="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11</vt:i4>
      </vt:variant>
    </vt:vector>
  </HeadingPairs>
  <TitlesOfParts>
    <vt:vector size="22" baseType="lpstr">
      <vt:lpstr>ΕΞΩΦΥΛΛΟ</vt:lpstr>
      <vt:lpstr>SYNOPTIKOS_PINAKAS</vt:lpstr>
      <vt:lpstr>TOPO_XVRA- KOMBO ARXAIOL_XVROY</vt:lpstr>
      <vt:lpstr>SYGKOINVNIAKA</vt:lpstr>
      <vt:lpstr>YDRAYLIKA</vt:lpstr>
      <vt:lpstr>ΣΤΑΤΙΚΑ</vt:lpstr>
      <vt:lpstr>PERIBALLONTIKA</vt:lpstr>
      <vt:lpstr>GEVLOGIKA</vt:lpstr>
      <vt:lpstr>GEVTEXNIKA</vt:lpstr>
      <vt:lpstr>HM</vt:lpstr>
      <vt:lpstr>SAY-FAY</vt:lpstr>
      <vt:lpstr>GEVLOGIKA!Print_Area</vt:lpstr>
      <vt:lpstr>GEVTEXNIKA!Print_Area</vt:lpstr>
      <vt:lpstr>PERIBALLONTIKA!Print_Area</vt:lpstr>
      <vt:lpstr>'SAY-FAY'!Print_Area</vt:lpstr>
      <vt:lpstr>SYGKOINVNIAKA!Print_Area</vt:lpstr>
      <vt:lpstr>SYNOPTIKOS_PINAKAS!Print_Area</vt:lpstr>
      <vt:lpstr>'TOPO_XVRA- KOMBO ARXAIOL_XVROY'!Print_Area</vt:lpstr>
      <vt:lpstr>YDRAYLIKA!Print_Area</vt:lpstr>
      <vt:lpstr>ΕΞΩΦΥΛΛΟ!Print_Area</vt:lpstr>
      <vt:lpstr>ΣΤΑΤΙΚΑ!Print_Area</vt:lpstr>
      <vt:lpstr>'TOPO_XVRA- KOMBO ARXAIOL_XVROY'!Print_Titles</vt:lpstr>
    </vt:vector>
  </TitlesOfParts>
  <Company>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smou</dc:creator>
  <cp:lastModifiedBy>user</cp:lastModifiedBy>
  <cp:lastPrinted>2020-09-29T11:12:47Z</cp:lastPrinted>
  <dcterms:created xsi:type="dcterms:W3CDTF">2007-11-29T09:03:49Z</dcterms:created>
  <dcterms:modified xsi:type="dcterms:W3CDTF">2021-04-20T05:47:50Z</dcterms:modified>
</cp:coreProperties>
</file>